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Administrator" reservationPassword="CBE3"/>
  <workbookPr defaultThemeVersion="124226"/>
  <bookViews>
    <workbookView xWindow="120" yWindow="180" windowWidth="10755" windowHeight="6840" activeTab="2"/>
  </bookViews>
  <sheets>
    <sheet name="汇总表" sheetId="9" r:id="rId1"/>
    <sheet name="海淀分公司工资表" sheetId="1" r:id="rId2"/>
    <sheet name="社保" sheetId="2" r:id="rId3"/>
    <sheet name="缴费比例" sheetId="5" r:id="rId4"/>
    <sheet name="福州" sheetId="6" r:id="rId5"/>
    <sheet name="合肥" sheetId="7" r:id="rId6"/>
    <sheet name="个税系统表" sheetId="8" r:id="rId7"/>
  </sheets>
  <definedNames>
    <definedName name="_xlnm._FilterDatabase" localSheetId="1" hidden="1">海淀分公司工资表!$A$2:$AY$31</definedName>
    <definedName name="_xlnm._FilterDatabase" localSheetId="2" hidden="1">社保!$A$1:$AB$20</definedName>
  </definedNames>
  <calcPr calcId="144525" concurrentCalc="0"/>
</workbook>
</file>

<file path=xl/calcChain.xml><?xml version="1.0" encoding="utf-8"?>
<calcChain xmlns="http://schemas.openxmlformats.org/spreadsheetml/2006/main">
  <c r="O6" i="2" l="1"/>
  <c r="AN7" i="1"/>
  <c r="M6" i="2"/>
  <c r="AM7" i="1"/>
  <c r="P6" i="2"/>
  <c r="AL7" i="1"/>
  <c r="K6" i="2"/>
  <c r="AK7" i="1"/>
  <c r="O5" i="2"/>
  <c r="AN6" i="1"/>
  <c r="M5" i="2"/>
  <c r="AM6" i="1"/>
  <c r="P5" i="2"/>
  <c r="AL6" i="1"/>
  <c r="K5" i="2"/>
  <c r="AK6" i="1"/>
  <c r="O4" i="2"/>
  <c r="AN5" i="1"/>
  <c r="M4" i="2"/>
  <c r="AM5" i="1"/>
  <c r="P4" i="2"/>
  <c r="AL5" i="1"/>
  <c r="K4" i="2"/>
  <c r="AK5" i="1"/>
  <c r="O3" i="2"/>
  <c r="AN4" i="1"/>
  <c r="M3" i="2"/>
  <c r="AM4" i="1"/>
  <c r="P3" i="2"/>
  <c r="AL4" i="1"/>
  <c r="K3" i="2"/>
  <c r="AK4" i="1"/>
  <c r="S3" i="2"/>
  <c r="AO4" i="1"/>
  <c r="S4" i="2"/>
  <c r="AO5" i="1"/>
  <c r="S5" i="2"/>
  <c r="AO6" i="1"/>
  <c r="S6" i="2"/>
  <c r="AO7" i="1"/>
  <c r="T3" i="2"/>
  <c r="O4" i="1"/>
  <c r="T4" i="2"/>
  <c r="O5" i="1"/>
  <c r="T5" i="2"/>
  <c r="O6" i="1"/>
  <c r="T6" i="2"/>
  <c r="O7" i="1"/>
  <c r="T7" i="2"/>
  <c r="O8" i="1"/>
  <c r="T8" i="2"/>
  <c r="O9" i="1"/>
  <c r="T9" i="2"/>
  <c r="O10" i="1"/>
  <c r="T10" i="2"/>
  <c r="O11" i="1"/>
  <c r="T11" i="2"/>
  <c r="O12" i="1"/>
  <c r="T12" i="2"/>
  <c r="O13" i="1"/>
  <c r="T13" i="2"/>
  <c r="O14" i="1"/>
  <c r="T14" i="2"/>
  <c r="O15" i="1"/>
  <c r="T15" i="2"/>
  <c r="O16" i="1"/>
  <c r="T16" i="2"/>
  <c r="O17" i="1"/>
  <c r="T17" i="2"/>
  <c r="O18" i="1"/>
  <c r="T18" i="2"/>
  <c r="O19" i="1"/>
  <c r="T19" i="2"/>
  <c r="O20" i="1"/>
  <c r="T20" i="2"/>
  <c r="O21" i="1"/>
  <c r="AB4" i="1"/>
  <c r="AC4" i="1"/>
  <c r="AD4" i="1"/>
  <c r="AE4" i="1"/>
  <c r="AF4" i="1"/>
  <c r="AB5" i="1"/>
  <c r="AC5" i="1"/>
  <c r="AD5" i="1"/>
  <c r="AE5" i="1"/>
  <c r="AF5" i="1"/>
  <c r="AB6" i="1"/>
  <c r="AC6" i="1"/>
  <c r="AD6" i="1"/>
  <c r="AE6" i="1"/>
  <c r="AF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F3" i="1"/>
  <c r="AE3" i="1"/>
  <c r="AD3" i="1"/>
  <c r="AC3" i="1"/>
  <c r="AB3" i="1"/>
  <c r="U4" i="1"/>
  <c r="V4" i="1"/>
  <c r="W4" i="1"/>
  <c r="X4" i="1"/>
  <c r="Y4" i="1"/>
  <c r="U5" i="1"/>
  <c r="V5" i="1"/>
  <c r="W5" i="1"/>
  <c r="X5" i="1"/>
  <c r="Y5" i="1"/>
  <c r="U6" i="1"/>
  <c r="V6" i="1"/>
  <c r="W6" i="1"/>
  <c r="X6" i="1"/>
  <c r="Y6" i="1"/>
  <c r="U7" i="1"/>
  <c r="V7" i="1"/>
  <c r="W7" i="1"/>
  <c r="X7" i="1"/>
  <c r="Y7" i="1"/>
  <c r="U8" i="1"/>
  <c r="V8" i="1"/>
  <c r="W8" i="1"/>
  <c r="X8" i="1"/>
  <c r="Y8" i="1"/>
  <c r="U9" i="1"/>
  <c r="V9" i="1"/>
  <c r="W9" i="1"/>
  <c r="X9" i="1"/>
  <c r="Y9" i="1"/>
  <c r="U10" i="1"/>
  <c r="V10" i="1"/>
  <c r="W10" i="1"/>
  <c r="X10" i="1"/>
  <c r="Y10" i="1"/>
  <c r="U11" i="1"/>
  <c r="V11" i="1"/>
  <c r="W11" i="1"/>
  <c r="X11" i="1"/>
  <c r="Y11" i="1"/>
  <c r="U12" i="1"/>
  <c r="V12" i="1"/>
  <c r="W12" i="1"/>
  <c r="X12" i="1"/>
  <c r="Y12" i="1"/>
  <c r="U13" i="1"/>
  <c r="V13" i="1"/>
  <c r="W13" i="1"/>
  <c r="X13" i="1"/>
  <c r="Y13" i="1"/>
  <c r="U14" i="1"/>
  <c r="V14" i="1"/>
  <c r="W14" i="1"/>
  <c r="X14" i="1"/>
  <c r="Y14" i="1"/>
  <c r="U15" i="1"/>
  <c r="V15" i="1"/>
  <c r="W15" i="1"/>
  <c r="X15" i="1"/>
  <c r="Y15" i="1"/>
  <c r="U16" i="1"/>
  <c r="V16" i="1"/>
  <c r="W16" i="1"/>
  <c r="X16" i="1"/>
  <c r="Y16" i="1"/>
  <c r="U17" i="1"/>
  <c r="V17" i="1"/>
  <c r="W17" i="1"/>
  <c r="X17" i="1"/>
  <c r="Y17" i="1"/>
  <c r="U18" i="1"/>
  <c r="V18" i="1"/>
  <c r="W18" i="1"/>
  <c r="X18" i="1"/>
  <c r="Y18" i="1"/>
  <c r="U19" i="1"/>
  <c r="V19" i="1"/>
  <c r="W19" i="1"/>
  <c r="X19" i="1"/>
  <c r="Y19" i="1"/>
  <c r="U20" i="1"/>
  <c r="V20" i="1"/>
  <c r="W20" i="1"/>
  <c r="X20" i="1"/>
  <c r="Y20" i="1"/>
  <c r="U21" i="1"/>
  <c r="V21" i="1"/>
  <c r="W21" i="1"/>
  <c r="X21" i="1"/>
  <c r="Y21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V3" i="1"/>
  <c r="W3" i="1"/>
  <c r="X3" i="1"/>
  <c r="Y3" i="1"/>
  <c r="U3" i="1"/>
  <c r="S3" i="1"/>
  <c r="T3" i="1"/>
  <c r="R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N2" i="2"/>
  <c r="N4" i="1"/>
  <c r="Q2" i="2"/>
  <c r="R2" i="2"/>
  <c r="M4" i="1"/>
  <c r="L2" i="2"/>
  <c r="L4" i="1"/>
  <c r="F4" i="1"/>
  <c r="E4" i="1"/>
  <c r="AX3" i="1"/>
  <c r="AW3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4" i="1"/>
  <c r="AY5" i="1"/>
  <c r="AY6" i="1"/>
  <c r="AY3" i="1"/>
  <c r="E5" i="1"/>
  <c r="AX4" i="1"/>
  <c r="E6" i="1"/>
  <c r="AX5" i="1"/>
  <c r="E7" i="1"/>
  <c r="AX6" i="1"/>
  <c r="E8" i="1"/>
  <c r="AX7" i="1"/>
  <c r="E9" i="1"/>
  <c r="AX8" i="1"/>
  <c r="E10" i="1"/>
  <c r="AX9" i="1"/>
  <c r="E11" i="1"/>
  <c r="AX10" i="1"/>
  <c r="E12" i="1"/>
  <c r="AX11" i="1"/>
  <c r="E13" i="1"/>
  <c r="AX12" i="1"/>
  <c r="E14" i="1"/>
  <c r="AX13" i="1"/>
  <c r="E15" i="1"/>
  <c r="AX14" i="1"/>
  <c r="E16" i="1"/>
  <c r="AX15" i="1"/>
  <c r="E17" i="1"/>
  <c r="AX16" i="1"/>
  <c r="E18" i="1"/>
  <c r="AX17" i="1"/>
  <c r="E19" i="1"/>
  <c r="AX18" i="1"/>
  <c r="E20" i="1"/>
  <c r="AX19" i="1"/>
  <c r="E21" i="1"/>
  <c r="AX20" i="1"/>
  <c r="AX21" i="1"/>
  <c r="AP4" i="1"/>
  <c r="AJ4" i="1"/>
  <c r="AR4" i="1"/>
  <c r="AJ5" i="1"/>
  <c r="AP5" i="1"/>
  <c r="AR5" i="1"/>
  <c r="AJ6" i="1"/>
  <c r="AP6" i="1"/>
  <c r="AR6" i="1"/>
  <c r="AJ7" i="1"/>
  <c r="AP7" i="1"/>
  <c r="AR7" i="1"/>
  <c r="AJ8" i="1"/>
  <c r="AP8" i="1"/>
  <c r="AR8" i="1"/>
  <c r="AJ9" i="1"/>
  <c r="AP9" i="1"/>
  <c r="AR9" i="1"/>
  <c r="AJ10" i="1"/>
  <c r="AP10" i="1"/>
  <c r="AR10" i="1"/>
  <c r="AJ11" i="1"/>
  <c r="AP11" i="1"/>
  <c r="AR11" i="1"/>
  <c r="AJ12" i="1"/>
  <c r="AP12" i="1"/>
  <c r="AR12" i="1"/>
  <c r="AJ13" i="1"/>
  <c r="AP13" i="1"/>
  <c r="AR13" i="1"/>
  <c r="AJ14" i="1"/>
  <c r="AP14" i="1"/>
  <c r="AR14" i="1"/>
  <c r="AJ15" i="1"/>
  <c r="AP15" i="1"/>
  <c r="AR15" i="1"/>
  <c r="AJ16" i="1"/>
  <c r="AP16" i="1"/>
  <c r="AR16" i="1"/>
  <c r="AJ17" i="1"/>
  <c r="AP17" i="1"/>
  <c r="AR17" i="1"/>
  <c r="AJ18" i="1"/>
  <c r="AP18" i="1"/>
  <c r="AR18" i="1"/>
  <c r="AJ19" i="1"/>
  <c r="AP19" i="1"/>
  <c r="AR19" i="1"/>
  <c r="AJ20" i="1"/>
  <c r="AP20" i="1"/>
  <c r="AR20" i="1"/>
  <c r="AJ21" i="1"/>
  <c r="AP21" i="1"/>
  <c r="AR21" i="1"/>
  <c r="AJ3" i="1"/>
  <c r="K2" i="2"/>
  <c r="AK3" i="1"/>
  <c r="P2" i="2"/>
  <c r="AL3" i="1"/>
  <c r="M2" i="2"/>
  <c r="AM3" i="1"/>
  <c r="O2" i="2"/>
  <c r="AN3" i="1"/>
  <c r="S2" i="2"/>
  <c r="AO3" i="1"/>
  <c r="AP3" i="1"/>
  <c r="AR3" i="1"/>
  <c r="G2" i="9"/>
  <c r="P4" i="1"/>
  <c r="AG4" i="1"/>
  <c r="AI4" i="1"/>
  <c r="L3" i="1"/>
  <c r="M3" i="1"/>
  <c r="N3" i="1"/>
  <c r="T2" i="2"/>
  <c r="O3" i="1"/>
  <c r="P3" i="1"/>
  <c r="AG3" i="1"/>
  <c r="AI3" i="1"/>
  <c r="L4" i="2"/>
  <c r="L5" i="1"/>
  <c r="Q4" i="2"/>
  <c r="R4" i="2"/>
  <c r="M5" i="1"/>
  <c r="N4" i="2"/>
  <c r="N5" i="1"/>
  <c r="P5" i="1"/>
  <c r="AG5" i="1"/>
  <c r="AI5" i="1"/>
  <c r="L5" i="2"/>
  <c r="L6" i="1"/>
  <c r="Q5" i="2"/>
  <c r="R5" i="2"/>
  <c r="M6" i="1"/>
  <c r="N5" i="2"/>
  <c r="N6" i="1"/>
  <c r="P6" i="1"/>
  <c r="AG6" i="1"/>
  <c r="AI6" i="1"/>
  <c r="L6" i="2"/>
  <c r="L7" i="1"/>
  <c r="Q6" i="2"/>
  <c r="R6" i="2"/>
  <c r="M7" i="1"/>
  <c r="N6" i="2"/>
  <c r="N7" i="1"/>
  <c r="P7" i="1"/>
  <c r="AG7" i="1"/>
  <c r="AI7" i="1"/>
  <c r="L7" i="2"/>
  <c r="L8" i="1"/>
  <c r="Q7" i="2"/>
  <c r="R7" i="2"/>
  <c r="M8" i="1"/>
  <c r="N7" i="2"/>
  <c r="N8" i="1"/>
  <c r="P8" i="1"/>
  <c r="AG8" i="1"/>
  <c r="AI8" i="1"/>
  <c r="L8" i="2"/>
  <c r="L9" i="1"/>
  <c r="Q8" i="2"/>
  <c r="R8" i="2"/>
  <c r="M9" i="1"/>
  <c r="N8" i="2"/>
  <c r="N9" i="1"/>
  <c r="P9" i="1"/>
  <c r="AG9" i="1"/>
  <c r="AI9" i="1"/>
  <c r="L9" i="2"/>
  <c r="L10" i="1"/>
  <c r="Q9" i="2"/>
  <c r="R9" i="2"/>
  <c r="M10" i="1"/>
  <c r="N9" i="2"/>
  <c r="N10" i="1"/>
  <c r="P10" i="1"/>
  <c r="AG10" i="1"/>
  <c r="AI10" i="1"/>
  <c r="L10" i="2"/>
  <c r="L11" i="1"/>
  <c r="Q10" i="2"/>
  <c r="R10" i="2"/>
  <c r="M11" i="1"/>
  <c r="N10" i="2"/>
  <c r="N11" i="1"/>
  <c r="P11" i="1"/>
  <c r="AG11" i="1"/>
  <c r="AI11" i="1"/>
  <c r="L11" i="2"/>
  <c r="L12" i="1"/>
  <c r="Q11" i="2"/>
  <c r="R11" i="2"/>
  <c r="M12" i="1"/>
  <c r="N11" i="2"/>
  <c r="N12" i="1"/>
  <c r="P12" i="1"/>
  <c r="AG12" i="1"/>
  <c r="AI12" i="1"/>
  <c r="L12" i="2"/>
  <c r="L13" i="1"/>
  <c r="Q12" i="2"/>
  <c r="R12" i="2"/>
  <c r="M13" i="1"/>
  <c r="N12" i="2"/>
  <c r="N13" i="1"/>
  <c r="P13" i="1"/>
  <c r="AG13" i="1"/>
  <c r="AI13" i="1"/>
  <c r="L13" i="2"/>
  <c r="L14" i="1"/>
  <c r="Q13" i="2"/>
  <c r="R13" i="2"/>
  <c r="M14" i="1"/>
  <c r="N13" i="2"/>
  <c r="N14" i="1"/>
  <c r="P14" i="1"/>
  <c r="AG14" i="1"/>
  <c r="AI14" i="1"/>
  <c r="L14" i="2"/>
  <c r="L15" i="1"/>
  <c r="Q14" i="2"/>
  <c r="R14" i="2"/>
  <c r="M15" i="1"/>
  <c r="N14" i="2"/>
  <c r="N15" i="1"/>
  <c r="P15" i="1"/>
  <c r="AG15" i="1"/>
  <c r="AI15" i="1"/>
  <c r="L15" i="2"/>
  <c r="L16" i="1"/>
  <c r="Q15" i="2"/>
  <c r="R15" i="2"/>
  <c r="M16" i="1"/>
  <c r="N15" i="2"/>
  <c r="N16" i="1"/>
  <c r="P16" i="1"/>
  <c r="AG16" i="1"/>
  <c r="AI16" i="1"/>
  <c r="L16" i="2"/>
  <c r="L17" i="1"/>
  <c r="Q16" i="2"/>
  <c r="R16" i="2"/>
  <c r="M17" i="1"/>
  <c r="N16" i="2"/>
  <c r="N17" i="1"/>
  <c r="P17" i="1"/>
  <c r="AG17" i="1"/>
  <c r="AI17" i="1"/>
  <c r="L17" i="2"/>
  <c r="L18" i="1"/>
  <c r="Q17" i="2"/>
  <c r="R17" i="2"/>
  <c r="M18" i="1"/>
  <c r="N17" i="2"/>
  <c r="N18" i="1"/>
  <c r="P18" i="1"/>
  <c r="AG18" i="1"/>
  <c r="AI18" i="1"/>
  <c r="L18" i="2"/>
  <c r="L19" i="1"/>
  <c r="Q18" i="2"/>
  <c r="R18" i="2"/>
  <c r="M19" i="1"/>
  <c r="N18" i="2"/>
  <c r="N19" i="1"/>
  <c r="P19" i="1"/>
  <c r="AG19" i="1"/>
  <c r="AI19" i="1"/>
  <c r="L19" i="2"/>
  <c r="L20" i="1"/>
  <c r="Q19" i="2"/>
  <c r="R19" i="2"/>
  <c r="M20" i="1"/>
  <c r="N19" i="2"/>
  <c r="N20" i="1"/>
  <c r="P20" i="1"/>
  <c r="AG20" i="1"/>
  <c r="AI20" i="1"/>
  <c r="L20" i="2"/>
  <c r="L21" i="1"/>
  <c r="Q20" i="2"/>
  <c r="R20" i="2"/>
  <c r="M21" i="1"/>
  <c r="N20" i="2"/>
  <c r="N21" i="1"/>
  <c r="P21" i="1"/>
  <c r="AG21" i="1"/>
  <c r="AI21" i="1"/>
  <c r="AI31" i="1"/>
  <c r="B2" i="9"/>
  <c r="E2" i="9"/>
  <c r="F2" i="9"/>
  <c r="C2" i="9"/>
  <c r="D2" i="9"/>
  <c r="H2" i="9"/>
  <c r="AQ31" i="1"/>
  <c r="AR31" i="1"/>
  <c r="AJ31" i="1"/>
  <c r="AP31" i="1"/>
  <c r="I2" i="9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K7" i="2"/>
  <c r="M7" i="2"/>
  <c r="O7" i="2"/>
  <c r="P7" i="2"/>
  <c r="K8" i="2"/>
  <c r="M8" i="2"/>
  <c r="O8" i="2"/>
  <c r="P8" i="2"/>
  <c r="K9" i="2"/>
  <c r="M9" i="2"/>
  <c r="O9" i="2"/>
  <c r="P9" i="2"/>
  <c r="K10" i="2"/>
  <c r="M10" i="2"/>
  <c r="O10" i="2"/>
  <c r="P10" i="2"/>
  <c r="K11" i="2"/>
  <c r="M11" i="2"/>
  <c r="O11" i="2"/>
  <c r="P11" i="2"/>
  <c r="K12" i="2"/>
  <c r="M12" i="2"/>
  <c r="O12" i="2"/>
  <c r="P12" i="2"/>
  <c r="K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H31" i="1"/>
  <c r="AO31" i="1"/>
  <c r="AM31" i="1"/>
  <c r="O31" i="1"/>
  <c r="L3" i="2"/>
  <c r="N3" i="2"/>
  <c r="Q3" i="2"/>
  <c r="R3" i="2"/>
  <c r="M13" i="2"/>
  <c r="O13" i="2"/>
  <c r="P13" i="2"/>
  <c r="M14" i="2"/>
  <c r="O14" i="2"/>
  <c r="P14" i="2"/>
  <c r="M15" i="2"/>
  <c r="O15" i="2"/>
  <c r="P15" i="2"/>
  <c r="M16" i="2"/>
  <c r="O16" i="2"/>
  <c r="P16" i="2"/>
  <c r="M17" i="2"/>
  <c r="O17" i="2"/>
  <c r="P17" i="2"/>
  <c r="M18" i="2"/>
  <c r="O18" i="2"/>
  <c r="P18" i="2"/>
  <c r="M19" i="2"/>
  <c r="O19" i="2"/>
  <c r="P19" i="2"/>
  <c r="M20" i="2"/>
  <c r="O20" i="2"/>
  <c r="P20" i="2"/>
  <c r="K13" i="2"/>
  <c r="K14" i="2"/>
  <c r="K15" i="2"/>
  <c r="K16" i="2"/>
  <c r="K17" i="2"/>
  <c r="K18" i="2"/>
  <c r="K19" i="2"/>
  <c r="K20" i="2"/>
  <c r="E3" i="1"/>
  <c r="L31" i="1"/>
  <c r="N31" i="1"/>
  <c r="AL31" i="1"/>
  <c r="M31" i="1"/>
  <c r="AK31" i="1"/>
  <c r="P31" i="1"/>
  <c r="AG31" i="1"/>
</calcChain>
</file>

<file path=xl/sharedStrings.xml><?xml version="1.0" encoding="utf-8"?>
<sst xmlns="http://schemas.openxmlformats.org/spreadsheetml/2006/main" count="671" uniqueCount="243">
  <si>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</si>
  <si>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</si>
  <si>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</si>
  <si>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</si>
  <si>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</si>
  <si>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</si>
  <si>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</si>
  <si>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</si>
  <si>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</si>
  <si>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</si>
  <si>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</si>
  <si>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</si>
  <si>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</si>
  <si>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</si>
  <si>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</si>
  <si>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</si>
  <si>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</si>
  <si>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</si>
  <si>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</si>
  <si>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</si>
  <si>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</si>
  <si>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</si>
  <si>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</si>
  <si>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</si>
  <si>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</si>
  <si>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</si>
  <si>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</si>
  <si>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银行帐号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</si>
  <si>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</si>
  <si>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</si>
  <si>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</si>
  <si>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</si>
  <si>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</si>
  <si>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</si>
  <si>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</si>
  <si>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大病医疗</t>
  </si>
  <si>
    <t>合计</t>
  </si>
  <si>
    <t>412724199710057916</t>
  </si>
  <si>
    <t>马志伟</t>
  </si>
  <si>
    <t>141125199606160072</t>
  </si>
  <si>
    <t>牛金星</t>
  </si>
  <si>
    <t>411324200004062817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</si>
  <si>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</si>
  <si>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</si>
  <si>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</si>
  <si>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</si>
  <si>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</si>
  <si>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</si>
  <si>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</si>
  <si>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</si>
  <si>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</si>
  <si>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</si>
  <si>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</si>
  <si>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</si>
  <si>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</si>
  <si>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</si>
  <si>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</si>
  <si>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</si>
  <si>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</si>
  <si>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</si>
  <si>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</si>
  <si>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</si>
  <si>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</si>
  <si>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</si>
  <si>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</si>
  <si>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</si>
  <si>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</si>
  <si>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</si>
  <si>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</si>
  <si>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</si>
  <si>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</si>
  <si>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</si>
  <si>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</si>
  <si>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</si>
  <si>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</si>
  <si>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</si>
  <si>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</si>
  <si>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</si>
  <si>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</si>
  <si>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医疗单位大病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</si>
  <si>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</si>
  <si>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</si>
  <si>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</si>
  <si>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</si>
  <si>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</si>
  <si>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</si>
  <si>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</si>
  <si>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</si>
  <si>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</si>
  <si>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</si>
  <si>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</si>
  <si>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</si>
  <si>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</si>
  <si>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</si>
  <si>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</si>
  <si>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</si>
  <si>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</si>
  <si>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</si>
  <si>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</si>
  <si>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</si>
  <si>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</si>
  <si>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</si>
  <si>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</si>
  <si>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</si>
  <si>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</si>
  <si>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</si>
  <si>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</si>
  <si>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</si>
  <si>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</si>
  <si>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</si>
  <si>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</si>
  <si>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</si>
  <si>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</si>
  <si>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</si>
  <si>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</si>
  <si>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</si>
  <si>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</si>
  <si>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</si>
  <si>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</si>
  <si>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</si>
  <si>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</si>
  <si>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</si>
  <si>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</si>
  <si>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</si>
  <si>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</si>
  <si>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</si>
  <si>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</si>
  <si>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</si>
  <si>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</si>
  <si>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</si>
  <si>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</si>
  <si>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</si>
  <si>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</si>
  <si>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</si>
  <si>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</si>
  <si>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</si>
  <si>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</si>
  <si>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</si>
  <si>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</si>
  <si>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</si>
  <si>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</si>
  <si>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</si>
  <si>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</si>
  <si>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</si>
  <si>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</si>
  <si>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</si>
  <si>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养老单位</t>
    <phoneticPr fontId="2" type="noConversion"/>
  </si>
  <si>
    <t>医疗单位</t>
    <phoneticPr fontId="2" type="noConversion"/>
  </si>
  <si>
    <t>失业单位</t>
    <phoneticPr fontId="2" type="noConversion"/>
  </si>
  <si>
    <t>公积金单位</t>
    <phoneticPr fontId="2" type="noConversion"/>
  </si>
  <si>
    <t>本月企业社保费用
合计</t>
    <phoneticPr fontId="2" type="noConversion"/>
  </si>
  <si>
    <t>税率</t>
    <phoneticPr fontId="2" type="noConversion"/>
  </si>
  <si>
    <t>范冰澎</t>
    <phoneticPr fontId="2" type="noConversion"/>
  </si>
  <si>
    <t>缴费时间</t>
    <phoneticPr fontId="2" type="noConversion"/>
  </si>
  <si>
    <t>合肥2</t>
    <phoneticPr fontId="2" type="noConversion"/>
  </si>
  <si>
    <t>出生日期</t>
    <phoneticPr fontId="2" type="noConversion"/>
  </si>
  <si>
    <t>工伤单位</t>
    <phoneticPr fontId="2" type="noConversion"/>
  </si>
  <si>
    <t>个税</t>
  </si>
  <si>
    <t>客户简称</t>
    <phoneticPr fontId="2" type="noConversion"/>
  </si>
  <si>
    <t>小计（不含税）</t>
    <phoneticPr fontId="2" type="noConversion"/>
  </si>
  <si>
    <t>需支付费用（含税）</t>
    <phoneticPr fontId="2" type="noConversion"/>
  </si>
  <si>
    <t>个人社保扣除</t>
    <phoneticPr fontId="2" type="noConversion"/>
  </si>
  <si>
    <t>企业社保成本</t>
    <phoneticPr fontId="2" type="noConversion"/>
  </si>
  <si>
    <t>盖春歌</t>
    <phoneticPr fontId="2" type="noConversion"/>
  </si>
  <si>
    <t>盖春歌</t>
    <phoneticPr fontId="2" type="noConversion"/>
  </si>
  <si>
    <t>范冰澎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</si>
  <si>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</si>
  <si>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</si>
  <si>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银行手续费</t>
    <phoneticPr fontId="2" type="noConversion"/>
  </si>
  <si>
    <t>平安银行北京金融街支行</t>
  </si>
  <si>
    <t>平安银行</t>
  </si>
  <si>
    <t>农行北京曙光支行</t>
  </si>
  <si>
    <t>农业银行</t>
  </si>
  <si>
    <t>中国农业银行股份有限公司邯郸滏西南大街分理处</t>
  </si>
  <si>
    <t>招商银行北京分行西二旗支行</t>
  </si>
  <si>
    <t>招商银行</t>
  </si>
  <si>
    <t>招商银行北京分行圆明园西路</t>
  </si>
  <si>
    <t>招商银行北京常营支行</t>
  </si>
  <si>
    <t>交通银行北京自贸试验区永丰支行</t>
  </si>
  <si>
    <t>交通银行</t>
  </si>
  <si>
    <t>平安银行合肥经开区支行</t>
  </si>
  <si>
    <t>6222981792391430</t>
  </si>
  <si>
    <t>6222981796067635</t>
  </si>
  <si>
    <t>6222981795553916</t>
  </si>
  <si>
    <t>6228480019040027377</t>
    <phoneticPr fontId="7" type="noConversion"/>
  </si>
  <si>
    <t>6230521720016259673</t>
  </si>
  <si>
    <t>6214831051657291</t>
  </si>
  <si>
    <t>6214831053101116</t>
  </si>
  <si>
    <t>6214830172698242</t>
  </si>
  <si>
    <t>6222620910057797478</t>
  </si>
  <si>
    <t>6222981798346904</t>
  </si>
  <si>
    <t>6222981796735140</t>
    <phoneticPr fontId="2" type="noConversion"/>
  </si>
  <si>
    <t>6222981793719824</t>
    <phoneticPr fontId="2" type="noConversion"/>
  </si>
  <si>
    <t>6222981799138953</t>
    <phoneticPr fontId="2" type="noConversion"/>
  </si>
  <si>
    <t>6222981795585249</t>
    <phoneticPr fontId="2" type="noConversion"/>
  </si>
  <si>
    <t>6230580000327022104</t>
    <phoneticPr fontId="2" type="noConversion"/>
  </si>
  <si>
    <t>6222981795111269</t>
    <phoneticPr fontId="2" type="noConversion"/>
  </si>
  <si>
    <t>6222981794466599</t>
    <phoneticPr fontId="2" type="noConversion"/>
  </si>
  <si>
    <t>6222981794356931</t>
    <phoneticPr fontId="2" type="noConversion"/>
  </si>
  <si>
    <t>6222981793629502</t>
    <phoneticPr fontId="2" type="noConversion"/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</si>
  <si>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</si>
  <si>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</si>
  <si>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</si>
  <si>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</si>
  <si>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</si>
  <si>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</si>
  <si>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</si>
  <si>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</si>
  <si>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</si>
  <si>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</si>
  <si>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</si>
  <si>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</si>
  <si>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</si>
  <si>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</si>
  <si>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</si>
  <si>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</si>
  <si>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</si>
  <si>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</si>
  <si>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</si>
  <si>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</si>
  <si>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</si>
  <si>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</si>
  <si>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</si>
  <si>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</si>
  <si>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</si>
  <si>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</si>
  <si>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</si>
  <si>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</si>
  <si>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</si>
  <si>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</si>
  <si>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</si>
  <si>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</si>
  <si>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</si>
  <si>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</si>
  <si>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</si>
  <si>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</si>
  <si>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</si>
  <si>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2022-01-01</t>
  </si>
  <si>
    <t>2022-01-31</t>
  </si>
  <si>
    <t>正常工资薪金</t>
  </si>
  <si>
    <t>范冰澎</t>
  </si>
  <si>
    <t>盖春歌</t>
  </si>
  <si>
    <t>员工实发工资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</si>
</sst>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0.00_);[Red]\(0.00\)"/>
    <numFmt numFmtId="177" formatCode="0.00_ "/>
    <numFmt numFmtId="178" formatCode="[DBNum2][$-804]General"/>
    <numFmt numFmtId="179" formatCode="#,##0_);[Red]\(#,##0\)"/>
    <numFmt numFmtId="180" formatCode="#,##0.00_);[Red]\(#,##0.00\)"/>
    <numFmt numFmtId="181" formatCode="[$-F800]dddd\,\ mmmm\ dd\,\ yyyy"/>
    <numFmt numFmtId="182" formatCode="0.0000_);[Red]\(0.0000\)"/>
    <numFmt numFmtId="183" formatCode="0.00_);\(0.00\)"/>
  </numFmts>
  <fonts count="5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77">
    <xf numFmtId="0" fontId="0" fillId="0" borderId="0">
      <alignment vertical="center"/>
    </xf>
    <xf numFmtId="0" fontId="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3" fillId="1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5" borderId="10" applyNumberFormat="0" applyAlignment="0" applyProtection="0">
      <alignment vertical="center"/>
    </xf>
    <xf numFmtId="0" fontId="20" fillId="0" borderId="0"/>
    <xf numFmtId="0" fontId="1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0" fillId="0" borderId="0"/>
    <xf numFmtId="0" fontId="9" fillId="9" borderId="8" applyNumberFormat="0" applyFon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9" borderId="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0" fillId="0" borderId="0">
      <alignment vertical="center"/>
    </xf>
    <xf numFmtId="0" fontId="21" fillId="2" borderId="9" applyNumberFormat="0" applyAlignment="0" applyProtection="0">
      <alignment vertical="center"/>
    </xf>
    <xf numFmtId="0" fontId="20" fillId="0" borderId="0"/>
    <xf numFmtId="0" fontId="9" fillId="9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/>
    <xf numFmtId="0" fontId="23" fillId="1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/>
    <xf numFmtId="0" fontId="2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/>
    <xf numFmtId="0" fontId="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/>
    <xf numFmtId="0" fontId="9" fillId="0" borderId="0"/>
    <xf numFmtId="0" fontId="9" fillId="10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/>
    <xf numFmtId="0" fontId="1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78" fontId="20" fillId="0" borderId="0"/>
    <xf numFmtId="0" fontId="22" fillId="1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9" fontId="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Protection="0">
      <alignment vertical="top" wrapText="1"/>
    </xf>
    <xf numFmtId="0" fontId="6" fillId="0" borderId="0">
      <alignment vertical="center"/>
    </xf>
    <xf numFmtId="0" fontId="9" fillId="0" borderId="0"/>
    <xf numFmtId="0" fontId="9" fillId="0" borderId="0"/>
    <xf numFmtId="0" fontId="28" fillId="19" borderId="10" applyNumberFormat="0" applyAlignment="0" applyProtection="0">
      <alignment vertical="center"/>
    </xf>
    <xf numFmtId="0" fontId="6" fillId="0" borderId="0">
      <alignment vertical="center"/>
    </xf>
    <xf numFmtId="0" fontId="28" fillId="19" borderId="10" applyNumberFormat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9" fillId="0" borderId="0"/>
    <xf numFmtId="0" fontId="28" fillId="19" borderId="10" applyNumberFormat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20" fillId="0" borderId="0"/>
    <xf numFmtId="0" fontId="19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9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0" fontId="20" fillId="0" borderId="0"/>
    <xf numFmtId="0" fontId="28" fillId="19" borderId="10" applyNumberFormat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9" fillId="9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30" fillId="0" borderId="0"/>
    <xf numFmtId="0" fontId="28" fillId="19" borderId="10" applyNumberFormat="0" applyAlignment="0" applyProtection="0">
      <alignment vertical="center"/>
    </xf>
    <xf numFmtId="0" fontId="30" fillId="0" borderId="0"/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39" fillId="0" borderId="0"/>
    <xf numFmtId="0" fontId="17" fillId="0" borderId="0"/>
    <xf numFmtId="0" fontId="30" fillId="0" borderId="0"/>
    <xf numFmtId="0" fontId="30" fillId="0" borderId="0"/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78" fontId="20" fillId="0" borderId="0"/>
    <xf numFmtId="0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78" fontId="4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8" fontId="9" fillId="0" borderId="0">
      <alignment vertical="center"/>
    </xf>
    <xf numFmtId="178" fontId="20" fillId="0" borderId="0"/>
    <xf numFmtId="9" fontId="3" fillId="0" borderId="0" applyFont="0" applyFill="0" applyBorder="0" applyAlignment="0" applyProtection="0">
      <alignment vertical="center"/>
    </xf>
    <xf numFmtId="178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43" fontId="20" fillId="0" borderId="0" applyFont="0" applyFill="0" applyBorder="0" applyAlignment="0" applyProtection="0"/>
    <xf numFmtId="178" fontId="3" fillId="0" borderId="0">
      <alignment vertical="center"/>
    </xf>
    <xf numFmtId="178" fontId="9" fillId="0" borderId="0">
      <alignment vertical="center"/>
    </xf>
    <xf numFmtId="178" fontId="20" fillId="0" borderId="0"/>
    <xf numFmtId="178" fontId="20" fillId="0" borderId="0">
      <alignment vertical="center"/>
    </xf>
    <xf numFmtId="178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7" fillId="0" borderId="0" applyBorder="0">
      <alignment vertical="center"/>
    </xf>
    <xf numFmtId="0" fontId="9" fillId="0" borderId="0">
      <alignment vertical="center"/>
    </xf>
    <xf numFmtId="0" fontId="20" fillId="0" borderId="0">
      <alignment vertical="center"/>
    </xf>
  </cellStyleXfs>
  <cellXfs count="190">
    <xf numFmtId="0" fontId="0" fillId="0" borderId="0" xfId="0">
      <alignment vertical="center"/>
    </xf>
    <xf numFmtId="178" fontId="3" fillId="0" borderId="0" xfId="469">
      <alignment vertical="center"/>
    </xf>
    <xf numFmtId="178" fontId="3" fillId="0" borderId="0" xfId="469" applyAlignment="1">
      <alignment vertical="center" wrapText="1"/>
    </xf>
    <xf numFmtId="178" fontId="3" fillId="0" borderId="16" xfId="469" applyBorder="1">
      <alignment vertical="center"/>
    </xf>
    <xf numFmtId="178" fontId="3" fillId="0" borderId="16" xfId="469" applyFont="1" applyBorder="1">
      <alignment vertical="center"/>
    </xf>
    <xf numFmtId="178" fontId="3" fillId="0" borderId="16" xfId="469" applyFont="1" applyBorder="1" applyAlignment="1">
      <alignment vertical="center" wrapText="1"/>
    </xf>
    <xf numFmtId="10" fontId="3" fillId="0" borderId="16" xfId="469" applyNumberFormat="1" applyFont="1" applyBorder="1" applyAlignment="1">
      <alignment vertical="center" wrapText="1"/>
    </xf>
    <xf numFmtId="10" fontId="3" fillId="0" borderId="16" xfId="469" applyNumberFormat="1" applyBorder="1">
      <alignment vertical="center"/>
    </xf>
    <xf numFmtId="10" fontId="3" fillId="0" borderId="16" xfId="469" applyNumberFormat="1" applyFill="1" applyBorder="1">
      <alignment vertical="center"/>
    </xf>
    <xf numFmtId="178" fontId="3" fillId="0" borderId="3" xfId="469" applyFont="1" applyBorder="1" applyAlignment="1">
      <alignment vertical="center" wrapText="1"/>
    </xf>
    <xf numFmtId="178" fontId="3" fillId="0" borderId="3" xfId="469" applyBorder="1">
      <alignment vertical="center"/>
    </xf>
    <xf numFmtId="178" fontId="3" fillId="0" borderId="0" xfId="469" applyFont="1" applyBorder="1" applyAlignment="1">
      <alignment vertical="center" wrapText="1"/>
    </xf>
    <xf numFmtId="0" fontId="3" fillId="0" borderId="0" xfId="469" applyNumberFormat="1">
      <alignment vertical="center"/>
    </xf>
    <xf numFmtId="0" fontId="3" fillId="0" borderId="16" xfId="469" applyNumberFormat="1" applyFont="1" applyBorder="1" applyAlignment="1">
      <alignment vertical="center" wrapText="1"/>
    </xf>
    <xf numFmtId="0" fontId="3" fillId="0" borderId="16" xfId="469" applyNumberFormat="1" applyBorder="1">
      <alignment vertical="center"/>
    </xf>
    <xf numFmtId="0" fontId="3" fillId="0" borderId="16" xfId="469" applyNumberFormat="1" applyFill="1" applyBorder="1">
      <alignment vertical="center"/>
    </xf>
    <xf numFmtId="0" fontId="46" fillId="0" borderId="2" xfId="473" applyFont="1" applyFill="1" applyBorder="1" applyAlignment="1">
      <alignment horizontal="left" vertical="center"/>
    </xf>
    <xf numFmtId="10" fontId="29" fillId="0" borderId="16" xfId="469" applyNumberFormat="1" applyFont="1" applyBorder="1">
      <alignment vertical="center"/>
    </xf>
    <xf numFmtId="0" fontId="45" fillId="27" borderId="2" xfId="1" applyFont="1" applyFill="1" applyBorder="1" applyAlignment="1">
      <alignment horizontal="left" vertical="center"/>
    </xf>
    <xf numFmtId="49" fontId="13" fillId="27" borderId="2" xfId="475" applyNumberFormat="1" applyFont="1" applyFill="1" applyBorder="1" applyAlignment="1">
      <alignment horizontal="left" vertical="center" wrapText="1"/>
    </xf>
    <xf numFmtId="0" fontId="46" fillId="0" borderId="2" xfId="476" applyFont="1" applyFill="1" applyBorder="1" applyAlignment="1">
      <alignment horizontal="left" vertical="center"/>
    </xf>
    <xf numFmtId="49" fontId="15" fillId="0" borderId="2" xfId="303" applyNumberFormat="1" applyFont="1" applyFill="1" applyBorder="1" applyAlignment="1">
      <alignment horizontal="left" vertical="center"/>
    </xf>
    <xf numFmtId="0" fontId="46" fillId="0" borderId="2" xfId="473" applyFont="1" applyFill="1" applyBorder="1" applyAlignment="1">
      <alignment horizontal="left" vertical="center"/>
    </xf>
    <xf numFmtId="0" fontId="46" fillId="0" borderId="5" xfId="476" applyFont="1" applyFill="1" applyBorder="1" applyAlignment="1">
      <alignment horizontal="left" vertical="center"/>
    </xf>
    <xf numFmtId="49" fontId="15" fillId="0" borderId="2" xfId="474" applyNumberFormat="1" applyFont="1" applyFill="1" applyBorder="1" applyAlignment="1">
      <alignment horizontal="left" vertical="center"/>
    </xf>
    <xf numFmtId="49" fontId="15" fillId="0" borderId="2" xfId="475" applyNumberFormat="1" applyFont="1" applyFill="1" applyBorder="1" applyAlignment="1">
      <alignment horizontal="left" vertical="center"/>
    </xf>
    <xf numFmtId="0" fontId="47" fillId="27" borderId="2" xfId="475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45" fillId="27" borderId="2" xfId="1" applyFont="1" applyFill="1" applyBorder="1" applyAlignment="1">
      <alignment horizontal="left" vertical="center"/>
    </xf>
    <xf numFmtId="49" fontId="13" fillId="27" borderId="2" xfId="475" applyNumberFormat="1" applyFont="1" applyFill="1" applyBorder="1" applyAlignment="1">
      <alignment horizontal="left" vertical="center" wrapText="1"/>
    </xf>
    <xf numFmtId="0" fontId="46" fillId="0" borderId="2" xfId="476" applyFont="1" applyFill="1" applyBorder="1" applyAlignment="1">
      <alignment horizontal="left" vertical="center"/>
    </xf>
    <xf numFmtId="49" fontId="15" fillId="0" borderId="2" xfId="303" applyNumberFormat="1" applyFont="1" applyFill="1" applyBorder="1" applyAlignment="1">
      <alignment horizontal="left" vertical="center"/>
    </xf>
    <xf numFmtId="0" fontId="46" fillId="0" borderId="2" xfId="473" applyFont="1" applyFill="1" applyBorder="1" applyAlignment="1">
      <alignment horizontal="left" vertical="center"/>
    </xf>
    <xf numFmtId="0" fontId="46" fillId="0" borderId="5" xfId="476" applyFont="1" applyFill="1" applyBorder="1" applyAlignment="1">
      <alignment horizontal="left" vertical="center"/>
    </xf>
    <xf numFmtId="49" fontId="15" fillId="0" borderId="2" xfId="474" applyNumberFormat="1" applyFont="1" applyFill="1" applyBorder="1" applyAlignment="1">
      <alignment horizontal="left" vertical="center"/>
    </xf>
    <xf numFmtId="49" fontId="15" fillId="0" borderId="2" xfId="475" applyNumberFormat="1" applyFont="1" applyFill="1" applyBorder="1" applyAlignment="1">
      <alignment horizontal="left" vertical="center"/>
    </xf>
    <xf numFmtId="0" fontId="47" fillId="27" borderId="2" xfId="475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49" fontId="8" fillId="0" borderId="0" xfId="465" applyNumberFormat="1" applyFont="1" applyBorder="1" applyAlignment="1" applyProtection="1">
      <alignment horizontal="left" vertical="center"/>
      <protection locked="0"/>
    </xf>
    <xf numFmtId="178" fontId="7" fillId="0" borderId="0" xfId="446" quotePrefix="1" applyNumberFormat="1" applyFont="1" applyBorder="1" applyAlignment="1">
      <alignment horizontal="left" vertical="center"/>
    </xf>
    <xf numFmtId="14" fontId="7" fillId="28" borderId="0" xfId="446" applyNumberFormat="1" applyFont="1" applyFill="1" applyBorder="1" applyAlignment="1">
      <alignment horizontal="left" vertical="center"/>
    </xf>
    <xf numFmtId="178" fontId="42" fillId="0" borderId="0" xfId="446" applyFont="1">
      <alignment vertical="center"/>
    </xf>
    <xf numFmtId="178" fontId="41" fillId="0" borderId="0" xfId="446" applyNumberFormat="1" applyFont="1" applyFill="1" applyBorder="1" applyAlignment="1">
      <alignment horizontal="left" wrapText="1"/>
    </xf>
    <xf numFmtId="178" fontId="7" fillId="0" borderId="0" xfId="164" applyNumberFormat="1" applyFont="1" applyFill="1" applyBorder="1" applyAlignment="1">
      <alignment horizontal="left"/>
    </xf>
    <xf numFmtId="0" fontId="7" fillId="28" borderId="0" xfId="446" applyNumberFormat="1" applyFont="1" applyFill="1" applyBorder="1" applyAlignment="1">
      <alignment horizontal="left" vertical="center"/>
    </xf>
    <xf numFmtId="0" fontId="7" fillId="0" borderId="0" xfId="446" quotePrefix="1" applyNumberFormat="1" applyFont="1" applyBorder="1" applyAlignment="1">
      <alignment horizontal="left" vertical="center"/>
    </xf>
    <xf numFmtId="0" fontId="42" fillId="0" borderId="0" xfId="471" applyFont="1" applyBorder="1" applyAlignment="1">
      <alignment horizontal="left" vertical="center"/>
    </xf>
    <xf numFmtId="49" fontId="42" fillId="0" borderId="0" xfId="303" applyNumberFormat="1" applyFont="1" applyFill="1" applyBorder="1" applyAlignment="1">
      <alignment horizontal="left" vertical="center"/>
    </xf>
    <xf numFmtId="0" fontId="41" fillId="0" borderId="0" xfId="446" applyNumberFormat="1" applyFont="1" applyFill="1" applyBorder="1" applyAlignment="1">
      <alignment horizontal="left"/>
    </xf>
    <xf numFmtId="178" fontId="41" fillId="0" borderId="0" xfId="446" applyFont="1" applyFill="1" applyBorder="1" applyAlignment="1">
      <alignment horizontal="left" wrapText="1"/>
    </xf>
    <xf numFmtId="14" fontId="41" fillId="28" borderId="0" xfId="446" applyNumberFormat="1" applyFont="1" applyFill="1" applyBorder="1" applyAlignment="1">
      <alignment horizontal="left"/>
    </xf>
    <xf numFmtId="176" fontId="41" fillId="27" borderId="0" xfId="446" applyNumberFormat="1" applyFont="1" applyFill="1" applyBorder="1" applyAlignment="1">
      <alignment horizontal="left" wrapText="1"/>
    </xf>
    <xf numFmtId="176" fontId="41" fillId="28" borderId="0" xfId="446" applyNumberFormat="1" applyFont="1" applyFill="1" applyBorder="1" applyAlignment="1">
      <alignment horizontal="left" wrapText="1"/>
    </xf>
    <xf numFmtId="2" fontId="41" fillId="28" borderId="0" xfId="446" applyNumberFormat="1" applyFont="1" applyFill="1" applyBorder="1" applyAlignment="1">
      <alignment horizontal="left" wrapText="1"/>
    </xf>
    <xf numFmtId="178" fontId="41" fillId="0" borderId="0" xfId="446" applyNumberFormat="1" applyFont="1" applyFill="1" applyBorder="1" applyAlignment="1">
      <alignment horizontal="left"/>
    </xf>
    <xf numFmtId="178" fontId="41" fillId="0" borderId="0" xfId="446" applyFont="1" applyFill="1" applyBorder="1" applyAlignment="1">
      <alignment horizontal="left"/>
    </xf>
    <xf numFmtId="0" fontId="42" fillId="0" borderId="0" xfId="0" applyFont="1">
      <alignment vertical="center"/>
    </xf>
    <xf numFmtId="14" fontId="7" fillId="28" borderId="0" xfId="446" applyNumberFormat="1" applyFont="1" applyFill="1" applyAlignment="1">
      <alignment horizontal="left" vertical="center"/>
    </xf>
    <xf numFmtId="2" fontId="7" fillId="28" borderId="0" xfId="446" applyNumberFormat="1" applyFont="1" applyFill="1" applyBorder="1" applyAlignment="1">
      <alignment horizontal="left" vertical="center"/>
    </xf>
    <xf numFmtId="176" fontId="7" fillId="28" borderId="0" xfId="446" applyNumberFormat="1" applyFont="1" applyFill="1" applyBorder="1" applyAlignment="1">
      <alignment horizontal="left" vertical="center"/>
    </xf>
    <xf numFmtId="176" fontId="7" fillId="27" borderId="0" xfId="446" applyNumberFormat="1" applyFont="1" applyFill="1" applyAlignment="1">
      <alignment horizontal="left"/>
    </xf>
    <xf numFmtId="178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78" fontId="7" fillId="0" borderId="0" xfId="446" applyFont="1" applyFill="1" applyAlignment="1">
      <alignment horizontal="left" vertical="center"/>
    </xf>
    <xf numFmtId="176" fontId="7" fillId="0" borderId="0" xfId="446" applyNumberFormat="1" applyFont="1" applyFill="1" applyAlignment="1">
      <alignment horizontal="left" vertical="center"/>
    </xf>
    <xf numFmtId="178" fontId="7" fillId="28" borderId="0" xfId="446" applyFont="1" applyFill="1" applyAlignment="1">
      <alignment horizontal="left" vertical="center"/>
    </xf>
    <xf numFmtId="176" fontId="7" fillId="27" borderId="0" xfId="446" applyNumberFormat="1" applyFont="1" applyFill="1" applyBorder="1" applyAlignment="1">
      <alignment horizontal="left" wrapText="1"/>
    </xf>
    <xf numFmtId="2" fontId="7" fillId="27" borderId="0" xfId="446" applyNumberFormat="1" applyFont="1" applyFill="1" applyAlignment="1">
      <alignment horizontal="left"/>
    </xf>
    <xf numFmtId="178" fontId="42" fillId="27" borderId="0" xfId="446" applyFont="1" applyFill="1">
      <alignment vertical="center"/>
    </xf>
    <xf numFmtId="0" fontId="42" fillId="27" borderId="0" xfId="0" applyFont="1" applyFill="1">
      <alignment vertical="center"/>
    </xf>
    <xf numFmtId="176" fontId="48" fillId="28" borderId="0" xfId="446" applyNumberFormat="1" applyFont="1" applyFill="1" applyBorder="1" applyAlignment="1">
      <alignment horizontal="left" vertical="center" wrapText="1"/>
    </xf>
    <xf numFmtId="0" fontId="42" fillId="0" borderId="0" xfId="261" applyFont="1" applyFill="1" applyBorder="1" applyAlignment="1">
      <alignment horizontal="center" vertical="center" wrapText="1"/>
    </xf>
    <xf numFmtId="0" fontId="44" fillId="5" borderId="0" xfId="303" applyFont="1" applyFill="1" applyBorder="1" applyAlignment="1">
      <alignment horizontal="center" vertical="center"/>
    </xf>
    <xf numFmtId="0" fontId="7" fillId="27" borderId="0" xfId="303" applyFont="1" applyFill="1" applyBorder="1" applyAlignment="1">
      <alignment horizontal="center" vertical="center"/>
    </xf>
    <xf numFmtId="0" fontId="42" fillId="5" borderId="0" xfId="303" applyFont="1" applyFill="1" applyBorder="1" applyAlignment="1">
      <alignment horizontal="center" vertical="center"/>
    </xf>
    <xf numFmtId="0" fontId="7" fillId="0" borderId="0" xfId="303" quotePrefix="1" applyNumberFormat="1" applyFont="1" applyBorder="1">
      <alignment vertical="center"/>
    </xf>
    <xf numFmtId="0" fontId="42" fillId="3" borderId="0" xfId="303" applyFont="1" applyFill="1" applyBorder="1" applyAlignment="1">
      <alignment horizontal="center" vertical="center"/>
    </xf>
    <xf numFmtId="0" fontId="7" fillId="3" borderId="0" xfId="303" quotePrefix="1" applyNumberFormat="1" applyFont="1" applyFill="1" applyBorder="1">
      <alignment vertical="center"/>
    </xf>
    <xf numFmtId="178" fontId="7" fillId="28" borderId="0" xfId="446" applyFont="1" applyFill="1" applyBorder="1" applyAlignment="1">
      <alignment horizontal="left" vertical="center"/>
    </xf>
    <xf numFmtId="176" fontId="7" fillId="27" borderId="0" xfId="446" applyNumberFormat="1" applyFont="1" applyFill="1" applyBorder="1" applyAlignment="1">
      <alignment horizontal="left"/>
    </xf>
    <xf numFmtId="0" fontId="4" fillId="5" borderId="16" xfId="303" applyFont="1" applyFill="1" applyBorder="1" applyAlignment="1">
      <alignment horizontal="center" vertical="center"/>
    </xf>
    <xf numFmtId="0" fontId="13" fillId="3" borderId="2" xfId="353" applyNumberFormat="1" applyFont="1" applyFill="1" applyBorder="1" applyAlignment="1" applyProtection="1">
      <alignment horizontal="center" vertical="center" wrapText="1"/>
    </xf>
    <xf numFmtId="180" fontId="49" fillId="4" borderId="16" xfId="261" applyNumberFormat="1" applyFont="1" applyFill="1" applyBorder="1" applyAlignment="1" applyProtection="1">
      <alignment horizontal="center" vertical="center" shrinkToFit="1"/>
    </xf>
    <xf numFmtId="180" fontId="12" fillId="0" borderId="0" xfId="261" applyNumberFormat="1" applyFont="1" applyFill="1" applyBorder="1" applyAlignment="1" applyProtection="1">
      <alignment horizontal="center" vertical="center"/>
    </xf>
    <xf numFmtId="179" fontId="12" fillId="0" borderId="16" xfId="261" applyNumberFormat="1" applyFont="1" applyFill="1" applyBorder="1" applyAlignment="1" applyProtection="1">
      <alignment horizontal="center" vertical="center"/>
    </xf>
    <xf numFmtId="0" fontId="4" fillId="0" borderId="16" xfId="261" applyFont="1" applyFill="1" applyBorder="1" applyAlignment="1">
      <alignment horizontal="center" vertical="center" wrapText="1"/>
    </xf>
    <xf numFmtId="0" fontId="10" fillId="4" borderId="16" xfId="261" applyNumberFormat="1" applyFont="1" applyFill="1" applyBorder="1" applyAlignment="1">
      <alignment horizontal="center" vertical="center" wrapText="1"/>
    </xf>
    <xf numFmtId="177" fontId="12" fillId="0" borderId="16" xfId="261" applyNumberFormat="1" applyFont="1" applyFill="1" applyBorder="1" applyAlignment="1">
      <alignment horizontal="center" vertical="center"/>
    </xf>
    <xf numFmtId="177" fontId="12" fillId="4" borderId="16" xfId="261" applyNumberFormat="1" applyFont="1" applyFill="1" applyBorder="1" applyAlignment="1">
      <alignment horizontal="center" vertical="center"/>
    </xf>
    <xf numFmtId="176" fontId="10" fillId="0" borderId="16" xfId="261" applyNumberFormat="1" applyFont="1" applyFill="1" applyBorder="1" applyAlignment="1">
      <alignment horizontal="center" vertical="center" wrapText="1"/>
    </xf>
    <xf numFmtId="0" fontId="10" fillId="4" borderId="16" xfId="261" applyFont="1" applyFill="1" applyBorder="1" applyAlignment="1">
      <alignment horizontal="center" vertical="center"/>
    </xf>
    <xf numFmtId="0" fontId="4" fillId="3" borderId="16" xfId="303" applyFont="1" applyFill="1" applyBorder="1" applyAlignment="1">
      <alignment horizontal="center" vertical="center"/>
    </xf>
    <xf numFmtId="0" fontId="12" fillId="0" borderId="16" xfId="303" applyNumberFormat="1" applyFont="1" applyFill="1" applyBorder="1" applyAlignment="1">
      <alignment horizontal="center" vertical="center"/>
    </xf>
    <xf numFmtId="0" fontId="4" fillId="5" borderId="16" xfId="303" applyNumberFormat="1" applyFont="1" applyFill="1" applyBorder="1" applyAlignment="1">
      <alignment horizontal="center" vertical="center"/>
    </xf>
    <xf numFmtId="0" fontId="12" fillId="0" borderId="16" xfId="303" applyNumberFormat="1" applyFont="1" applyFill="1" applyBorder="1" applyAlignment="1">
      <alignment horizontal="center"/>
    </xf>
    <xf numFmtId="179" fontId="12" fillId="4" borderId="16" xfId="261" applyNumberFormat="1" applyFont="1" applyFill="1" applyBorder="1" applyAlignment="1" applyProtection="1">
      <alignment horizontal="center" vertical="center" shrinkToFit="1"/>
    </xf>
    <xf numFmtId="179" fontId="49" fillId="4" borderId="16" xfId="261" applyNumberFormat="1" applyFont="1" applyFill="1" applyBorder="1" applyAlignment="1" applyProtection="1">
      <alignment horizontal="center" vertical="center" shrinkToFit="1"/>
    </xf>
    <xf numFmtId="0" fontId="10" fillId="4" borderId="16" xfId="261" applyNumberFormat="1" applyFont="1" applyFill="1" applyBorder="1" applyAlignment="1">
      <alignment horizontal="center" vertical="center" shrinkToFit="1"/>
    </xf>
    <xf numFmtId="0" fontId="12" fillId="4" borderId="16" xfId="261" applyNumberFormat="1" applyFont="1" applyFill="1" applyBorder="1" applyAlignment="1" applyProtection="1">
      <alignment horizontal="center" vertical="center" shrinkToFit="1"/>
    </xf>
    <xf numFmtId="0" fontId="12" fillId="4" borderId="16" xfId="261" applyNumberFormat="1" applyFont="1" applyFill="1" applyBorder="1" applyAlignment="1">
      <alignment horizontal="center" vertical="center" shrinkToFit="1"/>
    </xf>
    <xf numFmtId="14" fontId="12" fillId="4" borderId="16" xfId="261" applyNumberFormat="1" applyFont="1" applyFill="1" applyBorder="1" applyAlignment="1" applyProtection="1">
      <alignment horizontal="center" vertical="center" shrinkToFit="1"/>
    </xf>
    <xf numFmtId="0" fontId="10" fillId="4" borderId="16" xfId="261" applyFont="1" applyFill="1" applyBorder="1" applyAlignment="1">
      <alignment horizontal="center" vertical="center" shrinkToFit="1"/>
    </xf>
    <xf numFmtId="0" fontId="10" fillId="0" borderId="16" xfId="303" applyFont="1" applyBorder="1" applyAlignment="1">
      <alignment horizontal="center" vertical="center"/>
    </xf>
    <xf numFmtId="0" fontId="10" fillId="3" borderId="16" xfId="303" applyFont="1" applyFill="1" applyBorder="1" applyAlignment="1">
      <alignment horizontal="center" vertical="center"/>
    </xf>
    <xf numFmtId="0" fontId="4" fillId="0" borderId="16" xfId="303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471" applyFont="1" applyBorder="1" applyAlignment="1">
      <alignment horizontal="center" vertical="center"/>
    </xf>
    <xf numFmtId="14" fontId="12" fillId="0" borderId="16" xfId="261" applyNumberFormat="1" applyFont="1" applyFill="1" applyBorder="1" applyAlignment="1">
      <alignment horizontal="center" vertical="center"/>
    </xf>
    <xf numFmtId="0" fontId="10" fillId="0" borderId="16" xfId="303" quotePrefix="1" applyNumberFormat="1" applyFont="1" applyBorder="1" applyAlignment="1">
      <alignment horizontal="center" vertical="center"/>
    </xf>
    <xf numFmtId="0" fontId="10" fillId="3" borderId="16" xfId="303" quotePrefix="1" applyNumberFormat="1" applyFont="1" applyFill="1" applyBorder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16" xfId="469" applyNumberFormat="1" applyBorder="1" applyAlignment="1">
      <alignment vertical="center" wrapText="1"/>
    </xf>
    <xf numFmtId="177" fontId="12" fillId="29" borderId="16" xfId="261" applyNumberFormat="1" applyFont="1" applyFill="1" applyBorder="1" applyAlignment="1">
      <alignment horizontal="center" vertical="center"/>
    </xf>
    <xf numFmtId="10" fontId="12" fillId="29" borderId="16" xfId="261" applyNumberFormat="1" applyFont="1" applyFill="1" applyBorder="1" applyAlignment="1">
      <alignment horizontal="center" vertical="center"/>
    </xf>
    <xf numFmtId="177" fontId="49" fillId="4" borderId="16" xfId="261" applyNumberFormat="1" applyFont="1" applyFill="1" applyBorder="1" applyAlignment="1">
      <alignment horizontal="center" vertical="center"/>
    </xf>
    <xf numFmtId="0" fontId="50" fillId="5" borderId="16" xfId="303" applyFont="1" applyFill="1" applyBorder="1" applyAlignment="1">
      <alignment horizontal="center" vertical="center"/>
    </xf>
    <xf numFmtId="14" fontId="10" fillId="4" borderId="16" xfId="261" applyNumberFormat="1" applyFont="1" applyFill="1" applyBorder="1" applyAlignment="1">
      <alignment horizontal="center" vertical="center" wrapText="1"/>
    </xf>
    <xf numFmtId="176" fontId="9" fillId="4" borderId="16" xfId="261" applyNumberFormat="1" applyFont="1" applyFill="1" applyBorder="1" applyAlignment="1">
      <alignment horizontal="center" vertical="center"/>
    </xf>
    <xf numFmtId="0" fontId="51" fillId="0" borderId="16" xfId="0" applyFont="1" applyBorder="1">
      <alignment vertical="center"/>
    </xf>
    <xf numFmtId="0" fontId="50" fillId="0" borderId="16" xfId="261" applyFont="1" applyFill="1" applyBorder="1" applyAlignment="1">
      <alignment horizontal="center" vertical="center" wrapText="1"/>
    </xf>
    <xf numFmtId="0" fontId="18" fillId="3" borderId="16" xfId="261" applyFont="1" applyFill="1" applyBorder="1" applyAlignment="1">
      <alignment horizontal="center" vertical="center"/>
    </xf>
    <xf numFmtId="176" fontId="12" fillId="4" borderId="16" xfId="261" applyNumberFormat="1" applyFont="1" applyFill="1" applyBorder="1" applyAlignment="1" applyProtection="1">
      <alignment horizontal="center" vertical="center"/>
    </xf>
    <xf numFmtId="176" fontId="49" fillId="4" borderId="16" xfId="261" applyNumberFormat="1" applyFont="1" applyFill="1" applyBorder="1" applyAlignment="1" applyProtection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2" fillId="0" borderId="16" xfId="261" quotePrefix="1" applyNumberFormat="1" applyFont="1" applyFill="1" applyBorder="1" applyAlignment="1" applyProtection="1">
      <alignment horizontal="left" vertical="center"/>
    </xf>
    <xf numFmtId="180" fontId="12" fillId="0" borderId="16" xfId="261" quotePrefix="1" applyNumberFormat="1" applyFont="1" applyFill="1" applyBorder="1" applyAlignment="1" applyProtection="1">
      <alignment horizontal="left" vertical="center"/>
    </xf>
    <xf numFmtId="0" fontId="4" fillId="0" borderId="0" xfId="0" quotePrefix="1" applyFont="1" applyAlignment="1">
      <alignment horizontal="left" vertical="center"/>
    </xf>
    <xf numFmtId="180" fontId="12" fillId="0" borderId="16" xfId="261" applyNumberFormat="1" applyFont="1" applyFill="1" applyBorder="1" applyAlignment="1" applyProtection="1">
      <alignment horizontal="left" vertical="center"/>
    </xf>
    <xf numFmtId="180" fontId="12" fillId="4" borderId="16" xfId="261" applyNumberFormat="1" applyFont="1" applyFill="1" applyBorder="1" applyAlignment="1" applyProtection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0" fillId="0" borderId="0" xfId="0" applyNumberFormat="1" applyAlignment="1"/>
    <xf numFmtId="18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80" fontId="12" fillId="30" borderId="16" xfId="261" applyNumberFormat="1" applyFont="1" applyFill="1" applyBorder="1" applyAlignment="1" applyProtection="1">
      <alignment horizontal="center" vertical="center"/>
    </xf>
    <xf numFmtId="180" fontId="49" fillId="30" borderId="16" xfId="261" applyNumberFormat="1" applyFont="1" applyFill="1" applyBorder="1" applyAlignment="1" applyProtection="1">
      <alignment horizontal="center" vertical="center" shrinkToFit="1"/>
    </xf>
    <xf numFmtId="0" fontId="10" fillId="5" borderId="16" xfId="303" applyFont="1" applyFill="1" applyBorder="1" applyAlignment="1">
      <alignment horizontal="center" vertical="center"/>
    </xf>
    <xf numFmtId="182" fontId="13" fillId="3" borderId="21" xfId="64" applyNumberFormat="1" applyFont="1" applyFill="1" applyBorder="1" applyAlignment="1" applyProtection="1">
      <alignment horizontal="center" vertical="center" wrapText="1"/>
    </xf>
    <xf numFmtId="182" fontId="13" fillId="3" borderId="19" xfId="64" applyNumberFormat="1" applyFont="1" applyFill="1" applyBorder="1" applyAlignment="1" applyProtection="1">
      <alignment horizontal="center" vertical="center" wrapText="1"/>
    </xf>
    <xf numFmtId="176" fontId="13" fillId="3" borderId="1" xfId="353" applyNumberFormat="1" applyFont="1" applyFill="1" applyBorder="1" applyAlignment="1" applyProtection="1">
      <alignment horizontal="center" vertical="center" wrapText="1"/>
    </xf>
    <xf numFmtId="176" fontId="13" fillId="3" borderId="4" xfId="353" applyNumberFormat="1" applyFont="1" applyFill="1" applyBorder="1" applyAlignment="1" applyProtection="1">
      <alignment horizontal="center" vertical="center" wrapText="1"/>
    </xf>
    <xf numFmtId="0" fontId="13" fillId="3" borderId="22" xfId="353" applyNumberFormat="1" applyFont="1" applyFill="1" applyBorder="1" applyAlignment="1" applyProtection="1">
      <alignment horizontal="center" vertical="center" wrapText="1"/>
    </xf>
    <xf numFmtId="0" fontId="13" fillId="3" borderId="17" xfId="353" applyNumberFormat="1" applyFont="1" applyFill="1" applyBorder="1" applyAlignment="1" applyProtection="1">
      <alignment horizontal="center" vertical="center" wrapText="1"/>
    </xf>
    <xf numFmtId="0" fontId="13" fillId="3" borderId="24" xfId="353" applyNumberFormat="1" applyFont="1" applyFill="1" applyBorder="1" applyAlignment="1" applyProtection="1">
      <alignment horizontal="center" vertical="center" wrapText="1"/>
    </xf>
    <xf numFmtId="0" fontId="13" fillId="3" borderId="18" xfId="353" applyNumberFormat="1" applyFont="1" applyFill="1" applyBorder="1" applyAlignment="1" applyProtection="1">
      <alignment horizontal="center" vertical="center" wrapText="1"/>
    </xf>
    <xf numFmtId="0" fontId="13" fillId="3" borderId="21" xfId="353" applyNumberFormat="1" applyFont="1" applyFill="1" applyBorder="1" applyAlignment="1" applyProtection="1">
      <alignment horizontal="center" vertical="center" wrapText="1"/>
    </xf>
    <xf numFmtId="0" fontId="13" fillId="3" borderId="19" xfId="353" applyNumberFormat="1" applyFont="1" applyFill="1" applyBorder="1" applyAlignment="1" applyProtection="1">
      <alignment horizontal="center" vertical="center" wrapText="1"/>
    </xf>
    <xf numFmtId="0" fontId="13" fillId="3" borderId="1" xfId="64" applyNumberFormat="1" applyFont="1" applyFill="1" applyBorder="1" applyAlignment="1" applyProtection="1">
      <alignment horizontal="center" vertical="center" wrapText="1"/>
    </xf>
    <xf numFmtId="0" fontId="13" fillId="3" borderId="4" xfId="64" applyNumberFormat="1" applyFont="1" applyFill="1" applyBorder="1" applyAlignment="1" applyProtection="1">
      <alignment horizontal="center" vertical="center" wrapText="1"/>
    </xf>
    <xf numFmtId="0" fontId="13" fillId="3" borderId="23" xfId="353" applyNumberFormat="1" applyFont="1" applyFill="1" applyBorder="1" applyAlignment="1" applyProtection="1">
      <alignment horizontal="center" vertical="center" wrapText="1"/>
    </xf>
    <xf numFmtId="0" fontId="13" fillId="3" borderId="20" xfId="353" applyNumberFormat="1" applyFont="1" applyFill="1" applyBorder="1" applyAlignment="1" applyProtection="1">
      <alignment horizontal="center" vertical="center" wrapText="1"/>
    </xf>
    <xf numFmtId="176" fontId="13" fillId="3" borderId="1" xfId="64" applyNumberFormat="1" applyFont="1" applyFill="1" applyBorder="1" applyAlignment="1" applyProtection="1">
      <alignment horizontal="center" vertical="center" wrapText="1"/>
    </xf>
    <xf numFmtId="176" fontId="13" fillId="3" borderId="4" xfId="64" applyNumberFormat="1" applyFont="1" applyFill="1" applyBorder="1" applyAlignment="1" applyProtection="1">
      <alignment horizontal="center" vertical="center" wrapText="1"/>
    </xf>
    <xf numFmtId="0" fontId="13" fillId="30" borderId="1" xfId="64" applyNumberFormat="1" applyFont="1" applyFill="1" applyBorder="1" applyAlignment="1" applyProtection="1">
      <alignment horizontal="center" vertical="center" wrapText="1"/>
    </xf>
    <xf numFmtId="0" fontId="13" fillId="30" borderId="4" xfId="64" applyNumberFormat="1" applyFont="1" applyFill="1" applyBorder="1" applyAlignment="1" applyProtection="1">
      <alignment horizontal="center" vertical="center" wrapText="1"/>
    </xf>
    <xf numFmtId="0" fontId="13" fillId="3" borderId="1" xfId="353" applyNumberFormat="1" applyFont="1" applyFill="1" applyBorder="1" applyAlignment="1" applyProtection="1">
      <alignment horizontal="center" vertical="center" wrapText="1"/>
    </xf>
    <xf numFmtId="0" fontId="13" fillId="3" borderId="4" xfId="353" applyNumberFormat="1" applyFont="1" applyFill="1" applyBorder="1" applyAlignment="1" applyProtection="1">
      <alignment horizontal="center" vertical="center" wrapText="1"/>
    </xf>
    <xf numFmtId="182" fontId="13" fillId="3" borderId="1" xfId="64" applyNumberFormat="1" applyFont="1" applyFill="1" applyBorder="1" applyAlignment="1" applyProtection="1">
      <alignment horizontal="center" vertical="center" wrapText="1"/>
    </xf>
    <xf numFmtId="182" fontId="13" fillId="3" borderId="4" xfId="64" applyNumberFormat="1" applyFont="1" applyFill="1" applyBorder="1" applyAlignment="1" applyProtection="1">
      <alignment horizontal="center" vertical="center" wrapText="1"/>
    </xf>
    <xf numFmtId="0" fontId="13" fillId="3" borderId="5" xfId="353" applyNumberFormat="1" applyFont="1" applyFill="1" applyBorder="1" applyAlignment="1" applyProtection="1">
      <alignment horizontal="center" vertical="center" wrapText="1"/>
    </xf>
    <xf numFmtId="0" fontId="13" fillId="3" borderId="6" xfId="353" applyNumberFormat="1" applyFont="1" applyFill="1" applyBorder="1" applyAlignment="1" applyProtection="1">
      <alignment horizontal="center" vertical="center" wrapText="1"/>
    </xf>
    <xf numFmtId="0" fontId="13" fillId="3" borderId="3" xfId="353" applyNumberFormat="1" applyFont="1" applyFill="1" applyBorder="1" applyAlignment="1" applyProtection="1">
      <alignment horizontal="center" vertical="center" wrapText="1"/>
    </xf>
    <xf numFmtId="49" fontId="11" fillId="3" borderId="1" xfId="353" applyNumberFormat="1" applyFont="1" applyFill="1" applyBorder="1" applyAlignment="1" applyProtection="1">
      <alignment horizontal="left" vertical="center" wrapText="1"/>
    </xf>
    <xf numFmtId="49" fontId="11" fillId="3" borderId="4" xfId="353" applyNumberFormat="1" applyFont="1" applyFill="1" applyBorder="1" applyAlignment="1" applyProtection="1">
      <alignment horizontal="left" vertical="center" wrapText="1"/>
    </xf>
    <xf numFmtId="0" fontId="11" fillId="3" borderId="1" xfId="353" applyNumberFormat="1" applyFont="1" applyFill="1" applyBorder="1" applyAlignment="1" applyProtection="1">
      <alignment horizontal="left" vertical="center" wrapText="1"/>
    </xf>
    <xf numFmtId="0" fontId="11" fillId="3" borderId="4" xfId="353" applyNumberFormat="1" applyFont="1" applyFill="1" applyBorder="1" applyAlignment="1" applyProtection="1">
      <alignment horizontal="left" vertical="center" wrapText="1"/>
    </xf>
    <xf numFmtId="0" fontId="11" fillId="3" borderId="21" xfId="353" applyNumberFormat="1" applyFont="1" applyFill="1" applyBorder="1" applyAlignment="1" applyProtection="1">
      <alignment horizontal="center" vertical="center" wrapText="1"/>
    </xf>
    <xf numFmtId="0" fontId="11" fillId="3" borderId="19" xfId="353" applyNumberFormat="1" applyFont="1" applyFill="1" applyBorder="1" applyAlignment="1" applyProtection="1">
      <alignment horizontal="center" vertical="center" wrapText="1"/>
    </xf>
    <xf numFmtId="14" fontId="11" fillId="3" borderId="1" xfId="353" applyNumberFormat="1" applyFont="1" applyFill="1" applyBorder="1" applyAlignment="1" applyProtection="1">
      <alignment horizontal="center" vertical="center" wrapText="1"/>
    </xf>
    <xf numFmtId="14" fontId="11" fillId="3" borderId="4" xfId="353" applyNumberFormat="1" applyFont="1" applyFill="1" applyBorder="1" applyAlignment="1" applyProtection="1">
      <alignment horizontal="center" vertical="center" wrapText="1"/>
    </xf>
    <xf numFmtId="179" fontId="13" fillId="3" borderId="1" xfId="64" applyNumberFormat="1" applyFont="1" applyFill="1" applyBorder="1" applyAlignment="1" applyProtection="1">
      <alignment horizontal="center" vertical="center"/>
    </xf>
    <xf numFmtId="179" fontId="13" fillId="3" borderId="4" xfId="64" applyNumberFormat="1" applyFont="1" applyFill="1" applyBorder="1" applyAlignment="1" applyProtection="1">
      <alignment horizontal="center" vertical="center"/>
    </xf>
    <xf numFmtId="179" fontId="11" fillId="3" borderId="1" xfId="64" applyNumberFormat="1" applyFont="1" applyFill="1" applyBorder="1" applyAlignment="1" applyProtection="1">
      <alignment horizontal="center" vertical="center"/>
    </xf>
    <xf numFmtId="179" fontId="11" fillId="3" borderId="4" xfId="64" applyNumberFormat="1" applyFont="1" applyFill="1" applyBorder="1" applyAlignment="1" applyProtection="1">
      <alignment horizontal="center" vertical="center"/>
    </xf>
    <xf numFmtId="0" fontId="11" fillId="3" borderId="1" xfId="64" applyNumberFormat="1" applyFont="1" applyFill="1" applyBorder="1" applyAlignment="1" applyProtection="1">
      <alignment horizontal="center" vertical="center" wrapText="1"/>
    </xf>
    <xf numFmtId="0" fontId="11" fillId="3" borderId="4" xfId="64" applyNumberFormat="1" applyFont="1" applyFill="1" applyBorder="1" applyAlignment="1" applyProtection="1">
      <alignment horizontal="center" vertical="center" wrapText="1"/>
    </xf>
    <xf numFmtId="0" fontId="11" fillId="3" borderId="1" xfId="353" applyNumberFormat="1" applyFont="1" applyFill="1" applyBorder="1" applyAlignment="1" applyProtection="1">
      <alignment horizontal="center" vertical="center" wrapText="1"/>
    </xf>
    <xf numFmtId="0" fontId="11" fillId="3" borderId="4" xfId="353" applyNumberFormat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 2" xfId="246"/>
    <cellStyle name="百分比 2 2" xfId="247"/>
    <cellStyle name="百分比 2 3" xfId="467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3"/>
    <cellStyle name="常规 12 3" xfId="304"/>
    <cellStyle name="常规 13" xfId="469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70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6"/>
    <cellStyle name="常规 2 7" xfId="472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1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5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6"/>
    <cellStyle name="常规_创联至信12年工资表sn803808 2" xfId="465"/>
    <cellStyle name="常规_东方思雨  易才服务文件" xfId="474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8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4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G8" sqref="G8"/>
    </sheetView>
  </sheetViews>
  <sheetFormatPr defaultRowHeight="13.5"/>
  <cols>
    <col min="2" max="2" width="11.625" bestFit="1" customWidth="1"/>
    <col min="3" max="3" width="10.625" customWidth="1"/>
    <col min="4" max="4" width="9.5" bestFit="1" customWidth="1"/>
    <col min="5" max="5" width="14.125" customWidth="1"/>
    <col min="6" max="7" width="14" customWidth="1"/>
    <col min="8" max="8" width="15.125" bestFit="1" customWidth="1"/>
    <col min="9" max="9" width="19.25" bestFit="1" customWidth="1"/>
  </cols>
  <sheetData>
    <row r="1" spans="1:9" ht="30" customHeight="1">
      <c r="A1" s="120" t="s">
        <v>158</v>
      </c>
      <c r="B1" s="122" t="s">
        <v>25</v>
      </c>
      <c r="C1" s="122" t="s">
        <v>157</v>
      </c>
      <c r="D1" s="122" t="s">
        <v>26</v>
      </c>
      <c r="E1" s="122" t="s">
        <v>161</v>
      </c>
      <c r="F1" s="122" t="s">
        <v>162</v>
      </c>
      <c r="G1" s="122" t="s">
        <v>168</v>
      </c>
      <c r="H1" s="122" t="s">
        <v>159</v>
      </c>
      <c r="I1" s="122" t="s">
        <v>160</v>
      </c>
    </row>
    <row r="2" spans="1:9" ht="31.5" customHeight="1">
      <c r="A2" s="121" t="s">
        <v>67</v>
      </c>
      <c r="B2" s="119">
        <f>SUMIF(海淀分公司工资表!B:B,A2,海淀分公司工资表!AI:AI)</f>
        <v>201453.77999999997</v>
      </c>
      <c r="C2" s="119">
        <f>SUMIF(海淀分公司工资表!B:B,A2,海淀分公司工资表!AF:AF)</f>
        <v>3351.09</v>
      </c>
      <c r="D2" s="119">
        <f>SUMIF(海淀分公司工资表!B:B,A2,海淀分公司工资表!AJ:AJ)</f>
        <v>3330</v>
      </c>
      <c r="E2" s="119">
        <f>SUMIF(海淀分公司工资表!B:B,A2,海淀分公司工资表!P:P)</f>
        <v>16493.269999999997</v>
      </c>
      <c r="F2" s="119">
        <f>SUMIF(海淀分公司工资表!B:B,A2,海淀分公司工资表!AP:AP)</f>
        <v>9446</v>
      </c>
      <c r="G2" s="119">
        <f>SUMIF(海淀分公司工资表!B:B,A2,海淀分公司工资表!AQ:AQ)</f>
        <v>36</v>
      </c>
      <c r="H2" s="119">
        <f>SUM(B2:G2)</f>
        <v>234110.13999999996</v>
      </c>
      <c r="I2" s="119">
        <f>ROUND(H2*106.72%,2)</f>
        <v>249842.34</v>
      </c>
    </row>
  </sheetData>
  <phoneticPr fontId="2" type="noConversion"/>
  <conditionalFormatting sqref="C1:C2">
    <cfRule type="duplicateValues" dxfId="3" priority="1" stopIfTrue="1"/>
    <cfRule type="expression" dxfId="2" priority="2" stopIfTrue="1">
      <formula>AND(COUNTIF($C$9:$C$65445,C1)+COUNTIF($C$1:$C$3,C1)&gt;1,NOT(ISBLANK(C1)))</formula>
    </cfRule>
    <cfRule type="expression" dxfId="1" priority="3" stopIfTrue="1">
      <formula>AND(COUNTIF($C$20:$C$65396,C1)+COUNTIF($C$1:$C$19,C1)&gt;1,NOT(ISBLANK(C1)))</formula>
    </cfRule>
    <cfRule type="expression" dxfId="0" priority="4" stopIfTrue="1">
      <formula>AND(COUNTIF($C$9:$C$65434,C1)+COUNTIF($C$1:$C$3,C1)&gt;1,NOT(ISBLANK(C1)))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workbookViewId="0">
      <pane xSplit="4" ySplit="2" topLeftCell="AD3" activePane="bottomRight" state="frozen"/>
      <selection pane="topRight" activeCell="E1" sqref="E1"/>
      <selection pane="bottomLeft" activeCell="A3" sqref="A3"/>
      <selection pane="bottomRight" activeCell="AK3" sqref="AK3:AN7"/>
    </sheetView>
  </sheetViews>
  <sheetFormatPr defaultRowHeight="12" outlineLevelCol="1"/>
  <cols>
    <col min="1" max="1" width="4.875" style="106" customWidth="1"/>
    <col min="2" max="2" width="8.875" style="106" customWidth="1"/>
    <col min="3" max="3" width="9" style="106"/>
    <col min="4" max="4" width="18" style="106" bestFit="1" customWidth="1"/>
    <col min="5" max="5" width="6.5" style="106" customWidth="1"/>
    <col min="6" max="6" width="10.25" style="106" customWidth="1"/>
    <col min="7" max="7" width="12.75" style="106" bestFit="1" customWidth="1"/>
    <col min="8" max="8" width="8.125" style="106" customWidth="1"/>
    <col min="9" max="9" width="9.375" style="106" bestFit="1" customWidth="1"/>
    <col min="10" max="11" width="9" style="106"/>
    <col min="12" max="15" width="9" style="106" customWidth="1" outlineLevel="1"/>
    <col min="16" max="17" width="9" style="106" customWidth="1"/>
    <col min="18" max="26" width="9" style="106" customWidth="1" outlineLevel="1"/>
    <col min="27" max="27" width="11.125" style="106" customWidth="1" outlineLevel="1"/>
    <col min="28" max="28" width="9" style="106" customWidth="1" outlineLevel="1"/>
    <col min="29" max="29" width="13.125" style="106" customWidth="1" outlineLevel="1"/>
    <col min="30" max="30" width="9" style="106" customWidth="1" outlineLevel="1"/>
    <col min="31" max="31" width="8.875" style="106" customWidth="1" outlineLevel="1"/>
    <col min="32" max="32" width="9" style="106" customWidth="1"/>
    <col min="33" max="33" width="10.375" style="126" customWidth="1"/>
    <col min="34" max="34" width="9" style="106" customWidth="1"/>
    <col min="35" max="35" width="10.375" style="106" customWidth="1"/>
    <col min="36" max="36" width="9" style="106" customWidth="1"/>
    <col min="37" max="41" width="9" style="106" customWidth="1" outlineLevel="1"/>
    <col min="42" max="42" width="9.375" style="106" bestFit="1" customWidth="1"/>
    <col min="43" max="45" width="9.375" style="106" customWidth="1"/>
    <col min="46" max="46" width="19.875" style="133" customWidth="1"/>
    <col min="47" max="47" width="8" style="133" customWidth="1"/>
    <col min="48" max="48" width="38.375" style="133" customWidth="1"/>
    <col min="49" max="49" width="15.25" style="106" customWidth="1"/>
    <col min="50" max="16384" width="9" style="106"/>
  </cols>
  <sheetData>
    <row r="1" spans="1:51" ht="13.5" customHeight="1">
      <c r="A1" s="180" t="s">
        <v>7</v>
      </c>
      <c r="B1" s="182" t="s">
        <v>8</v>
      </c>
      <c r="C1" s="184" t="s">
        <v>9</v>
      </c>
      <c r="D1" s="186" t="s">
        <v>10</v>
      </c>
      <c r="E1" s="165" t="s">
        <v>11</v>
      </c>
      <c r="F1" s="155" t="s">
        <v>155</v>
      </c>
      <c r="G1" s="176" t="s">
        <v>12</v>
      </c>
      <c r="H1" s="186" t="s">
        <v>68</v>
      </c>
      <c r="I1" s="178" t="s">
        <v>13</v>
      </c>
      <c r="J1" s="186" t="s">
        <v>14</v>
      </c>
      <c r="K1" s="186" t="s">
        <v>142</v>
      </c>
      <c r="L1" s="159" t="s">
        <v>31</v>
      </c>
      <c r="M1" s="151" t="s">
        <v>32</v>
      </c>
      <c r="N1" s="151" t="s">
        <v>33</v>
      </c>
      <c r="O1" s="153" t="s">
        <v>34</v>
      </c>
      <c r="P1" s="165" t="s">
        <v>15</v>
      </c>
      <c r="Q1" s="186" t="s">
        <v>16</v>
      </c>
      <c r="R1" s="165" t="s">
        <v>17</v>
      </c>
      <c r="S1" s="149" t="s">
        <v>18</v>
      </c>
      <c r="T1" s="165" t="s">
        <v>19</v>
      </c>
      <c r="U1" s="169" t="s">
        <v>20</v>
      </c>
      <c r="V1" s="170"/>
      <c r="W1" s="170"/>
      <c r="X1" s="170"/>
      <c r="Y1" s="170"/>
      <c r="Z1" s="171"/>
      <c r="AA1" s="165" t="s">
        <v>21</v>
      </c>
      <c r="AB1" s="165" t="s">
        <v>22</v>
      </c>
      <c r="AC1" s="149" t="s">
        <v>226</v>
      </c>
      <c r="AD1" s="149" t="s">
        <v>229</v>
      </c>
      <c r="AE1" s="149" t="s">
        <v>232</v>
      </c>
      <c r="AF1" s="149" t="s">
        <v>233</v>
      </c>
      <c r="AG1" s="161" t="s">
        <v>23</v>
      </c>
      <c r="AH1" s="161" t="s">
        <v>24</v>
      </c>
      <c r="AI1" s="163" t="s">
        <v>242</v>
      </c>
      <c r="AJ1" s="157" t="s">
        <v>26</v>
      </c>
      <c r="AK1" s="159" t="s">
        <v>146</v>
      </c>
      <c r="AL1" s="151" t="s">
        <v>147</v>
      </c>
      <c r="AM1" s="151" t="s">
        <v>148</v>
      </c>
      <c r="AN1" s="151" t="s">
        <v>156</v>
      </c>
      <c r="AO1" s="153" t="s">
        <v>149</v>
      </c>
      <c r="AP1" s="165" t="s">
        <v>150</v>
      </c>
      <c r="AQ1" s="147" t="s">
        <v>167</v>
      </c>
      <c r="AR1" s="167" t="s">
        <v>166</v>
      </c>
      <c r="AS1" s="155" t="s">
        <v>151</v>
      </c>
      <c r="AT1" s="172" t="s">
        <v>27</v>
      </c>
      <c r="AU1" s="174" t="s">
        <v>201</v>
      </c>
      <c r="AV1" s="174" t="s">
        <v>200</v>
      </c>
      <c r="AW1" s="165" t="s">
        <v>28</v>
      </c>
      <c r="AX1" s="165" t="s">
        <v>29</v>
      </c>
      <c r="AY1" s="165" t="s">
        <v>30</v>
      </c>
    </row>
    <row r="2" spans="1:51" ht="36">
      <c r="A2" s="181"/>
      <c r="B2" s="183"/>
      <c r="C2" s="185"/>
      <c r="D2" s="187"/>
      <c r="E2" s="166"/>
      <c r="F2" s="156"/>
      <c r="G2" s="177"/>
      <c r="H2" s="177"/>
      <c r="I2" s="179"/>
      <c r="J2" s="187"/>
      <c r="K2" s="177"/>
      <c r="L2" s="160"/>
      <c r="M2" s="152"/>
      <c r="N2" s="152"/>
      <c r="O2" s="154"/>
      <c r="P2" s="166"/>
      <c r="Q2" s="187"/>
      <c r="R2" s="166"/>
      <c r="S2" s="150"/>
      <c r="T2" s="166"/>
      <c r="U2" s="81" t="s">
        <v>202</v>
      </c>
      <c r="V2" s="81" t="s">
        <v>203</v>
      </c>
      <c r="W2" s="81" t="s">
        <v>204</v>
      </c>
      <c r="X2" s="81" t="s">
        <v>205</v>
      </c>
      <c r="Y2" s="81" t="s">
        <v>206</v>
      </c>
      <c r="Z2" s="81" t="s">
        <v>35</v>
      </c>
      <c r="AA2" s="166"/>
      <c r="AB2" s="166"/>
      <c r="AC2" s="150"/>
      <c r="AD2" s="150"/>
      <c r="AE2" s="150"/>
      <c r="AF2" s="150"/>
      <c r="AG2" s="162"/>
      <c r="AH2" s="162"/>
      <c r="AI2" s="164"/>
      <c r="AJ2" s="158"/>
      <c r="AK2" s="160"/>
      <c r="AL2" s="152"/>
      <c r="AM2" s="152"/>
      <c r="AN2" s="152"/>
      <c r="AO2" s="154"/>
      <c r="AP2" s="166"/>
      <c r="AQ2" s="148"/>
      <c r="AR2" s="168"/>
      <c r="AS2" s="156"/>
      <c r="AT2" s="173"/>
      <c r="AU2" s="175"/>
      <c r="AV2" s="175"/>
      <c r="AW2" s="166"/>
      <c r="AX2" s="166"/>
      <c r="AY2" s="166"/>
    </row>
    <row r="3" spans="1:51" ht="23.25" customHeight="1">
      <c r="A3" s="84">
        <v>1</v>
      </c>
      <c r="B3" s="85" t="s">
        <v>67</v>
      </c>
      <c r="C3" s="146" t="s">
        <v>3</v>
      </c>
      <c r="D3" s="107" t="s">
        <v>6</v>
      </c>
      <c r="E3" s="86" t="str">
        <f>IF(VALUE(MID(D3,17,1))/2=INT(VALUE(MID(D3,17,1))/2),"女","男")</f>
        <v>男</v>
      </c>
      <c r="F3" s="118">
        <f>DATE(MID(D3,7,4),MID(D3,11,2),MID(D3,13,2))</f>
        <v>31902</v>
      </c>
      <c r="G3" s="102">
        <v>13651146090</v>
      </c>
      <c r="H3" s="102" t="s">
        <v>69</v>
      </c>
      <c r="I3" s="108">
        <v>44562</v>
      </c>
      <c r="J3" s="80"/>
      <c r="K3" s="117">
        <v>14597</v>
      </c>
      <c r="L3" s="114">
        <f>VLOOKUP($D3,社保!$C:$Z,MATCH(L$1,社保!$C$1:$Z$1,0),FALSE)</f>
        <v>428.8</v>
      </c>
      <c r="M3" s="114">
        <f>VLOOKUP($D3,社保!$C:$Z,MATCH(M$1,社保!$C$1:$Z$1,0),FALSE)+VLOOKUP($D3,社保!$C:$Z,MATCH("个人大病",社保!$C$1:$Z$1,0),FALSE)</f>
        <v>110.2</v>
      </c>
      <c r="N3" s="114">
        <f>VLOOKUP($D3,社保!$C:$Z,MATCH(N$1,社保!$C$1:$Z$1,0),FALSE)</f>
        <v>26.8</v>
      </c>
      <c r="O3" s="114">
        <f>VLOOKUP($D3,社保!$C:$Z,MATCH(O$1,社保!$C$1:$Z$1,0),FALSE)</f>
        <v>1080</v>
      </c>
      <c r="P3" s="114">
        <f>SUM(L3:O3)</f>
        <v>1645.8</v>
      </c>
      <c r="Q3" s="87"/>
      <c r="R3" s="88">
        <f>VLOOKUP($D3,个税系统表!$D:$AN,MATCH(海淀分公司工资表!R$1,个税系统表!$D$1:$AM$1,0),FALSE)</f>
        <v>14597</v>
      </c>
      <c r="S3" s="88">
        <f>VLOOKUP($D3,个税系统表!$D:$AN,MATCH(海淀分公司工资表!S$1,个税系统表!$D$1:$AM$1,0),FALSE)</f>
        <v>5000</v>
      </c>
      <c r="T3" s="88">
        <f>VLOOKUP($D3,个税系统表!$D:$AN,MATCH(海淀分公司工资表!T$1,个税系统表!$D$1:$AM$1,0),FALSE)</f>
        <v>1645.8</v>
      </c>
      <c r="U3" s="88">
        <f>VLOOKUP($D3,个税系统表!$D:$AN,MATCH(海淀分公司工资表!U$2,个税系统表!$D$1:$AM$1,0),FALSE)</f>
        <v>1000</v>
      </c>
      <c r="V3" s="88">
        <f>VLOOKUP($D3,个税系统表!$D:$AN,MATCH(海淀分公司工资表!V$2,个税系统表!$D$1:$AM$1,0),FALSE)</f>
        <v>0</v>
      </c>
      <c r="W3" s="88">
        <f>VLOOKUP($D3,个税系统表!$D:$AN,MATCH(海淀分公司工资表!W$2,个税系统表!$D$1:$AM$1,0),FALSE)</f>
        <v>1000</v>
      </c>
      <c r="X3" s="88">
        <f>VLOOKUP($D3,个税系统表!$D:$AN,MATCH(海淀分公司工资表!X$2,个税系统表!$D$1:$AM$1,0),FALSE)</f>
        <v>0</v>
      </c>
      <c r="Y3" s="88">
        <f>VLOOKUP($D3,个税系统表!$D:$AN,MATCH(海淀分公司工资表!Y$2,个税系统表!$D$1:$AM$1,0),FALSE)</f>
        <v>1000</v>
      </c>
      <c r="Z3" s="87"/>
      <c r="AA3" s="88">
        <f>SUM(U3:Z3)</f>
        <v>3000</v>
      </c>
      <c r="AB3" s="88">
        <f>VLOOKUP($D3,个税系统表!$D:$AN,MATCH(海淀分公司工资表!AB$1,个税系统表!$D$1:$AM$1,0),FALSE)</f>
        <v>0</v>
      </c>
      <c r="AC3" s="88">
        <f>VLOOKUP($D3,个税系统表!$D:$AN,MATCH(海淀分公司工资表!AC$1,个税系统表!$D$1:$AM$1,0),FALSE)</f>
        <v>4951.2</v>
      </c>
      <c r="AD3" s="88">
        <f>VLOOKUP($D3,个税系统表!$D:$AN,MATCH(海淀分公司工资表!AD$1,个税系统表!$D$1:$AM$1,0),FALSE)</f>
        <v>148.54</v>
      </c>
      <c r="AE3" s="88">
        <f>VLOOKUP($D3,个税系统表!$D:$AN,MATCH(海淀分公司工资表!AE$1,个税系统表!$D$1:$AM$1,0),FALSE)</f>
        <v>0</v>
      </c>
      <c r="AF3" s="88">
        <f>VLOOKUP($D3,个税系统表!$D:$AN,MATCH(海淀分公司工资表!AF$1,个税系统表!$D$1:$AM$1,0),FALSE)</f>
        <v>148.54</v>
      </c>
      <c r="AG3" s="123">
        <f>K3-P3-Q3-AF3</f>
        <v>12802.66</v>
      </c>
      <c r="AH3" s="89"/>
      <c r="AI3" s="144">
        <f>AG3+AH3</f>
        <v>12802.66</v>
      </c>
      <c r="AJ3" s="114">
        <f>VLOOKUP($H3,缴费比例!$B:$O,MATCH(AJ$1,缴费比例!$B$1:$O$1,0),FALSE)</f>
        <v>170</v>
      </c>
      <c r="AK3" s="114">
        <f>VLOOKUP($D3,社保!$C:$Z,MATCH(AK$1,社保!$C$1:$Z$1,0),FALSE)</f>
        <v>857.6</v>
      </c>
      <c r="AL3" s="114">
        <f>VLOOKUP($D3,社保!$C:$Z,MATCH(AL$1,社保!$C$1:$Z$1,0),FALSE)</f>
        <v>525.28</v>
      </c>
      <c r="AM3" s="114">
        <f>VLOOKUP($D3,社保!$C:$Z,MATCH(AM$1,社保!$C$1:$Z$1,0),FALSE)</f>
        <v>26.8</v>
      </c>
      <c r="AN3" s="114">
        <f>VLOOKUP($D3,社保!$C:$Z,MATCH(AN$1,社保!$C$1:$Z$1,0),FALSE)</f>
        <v>10.72</v>
      </c>
      <c r="AO3" s="114">
        <f>VLOOKUP($D3,社保!$C:$Z,MATCH(AO$1,社保!$C$1:$Z$1,0),FALSE)</f>
        <v>1080</v>
      </c>
      <c r="AP3" s="114">
        <f>SUM(AK3:AO3)</f>
        <v>2500.4</v>
      </c>
      <c r="AQ3" s="114">
        <v>2</v>
      </c>
      <c r="AR3" s="114">
        <f>K3+AJ3+AP3+AQ3</f>
        <v>17269.400000000001</v>
      </c>
      <c r="AS3" s="115">
        <v>6.7199999999999996E-2</v>
      </c>
      <c r="AT3" s="127" t="s">
        <v>182</v>
      </c>
      <c r="AU3" s="130" t="s">
        <v>170</v>
      </c>
      <c r="AV3" s="130" t="s">
        <v>169</v>
      </c>
      <c r="AW3" s="90" t="str">
        <f>IF(LEN(D3)=18,IF(RIGHT(D3,1)="X",IF(CHOOSE(MOD(SUM(LEFT(RIGHT(D3,18))*7+LEFT(RIGHT(D3,17))*9+LEFT(RIGHT(D3,16))*10+LEFT(RIGHT(D3,15))*5+LEFT(RIGHT(D3,14))*8+LEFT(RIGHT(D3,13))*4+LEFT(RIGHT(D3,12))*2+LEFT(RIGHT(D3,11))*1+LEFT(RIGHT(D3,10))*6+LEFT(RIGHT(D3,9))*3+LEFT(RIGHT(D3,8))*7+LEFT(RIGHT(D3,7))*9+LEFT(RIGHT(D3,6))*10+LEFT(RIGHT(D3,5))*5+LEFT(RIGHT(D3,4))*8+LEFT(RIGHT(D3,3))*4+LEFT(RIGHT(D3,2))*2),11)+1,1,0,"X",9,8,7,6,5,4,3,2)=LEFT(RIGHT(D3,1)),"正确","错误"),IF(CHOOSE(MOD(SUM(LEFT(RIGHT(D3,18))*7+LEFT(RIGHT(D3,17))*9+LEFT(RIGHT(D3,16))*10+LEFT(RIGHT(D3,15))*5+LEFT(RIGHT(D3,14))*8+LEFT(RIGHT(D3,13))*4+LEFT(RIGHT(D3,12))*2+LEFT(RIGHT(D3,11))*1+LEFT(RIGHT(D3,10))*6+LEFT(RIGHT(D3,9))*3+LEFT(RIGHT(D3,8))*7+LEFT(RIGHT(D3,7))*9+LEFT(RIGHT(D3,6))*10+LEFT(RIGHT(D3,5))*5+LEFT(RIGHT(D3,4))*8+LEFT(RIGHT(D3,3))*4+LEFT(RIGHT(D3,2))*2),11)+1,1,0,"X",9,8,7,6,5,4,3,2)=LEFT(RIGHT(D3,1))*1,"正确","错误")),IF(LEN(D3)=15,"老号，请注意！",IF(LEN(D3)=0,"未填写身份证号码","位数不对！")))</f>
        <v>正确</v>
      </c>
      <c r="AX3" s="90" t="str">
        <f>IF(SUMPRODUCT(N(D$1:D$8=D3))&gt;1,"重复","不")</f>
        <v>不</v>
      </c>
      <c r="AY3" s="90" t="str">
        <f>IF(SUMPRODUCT(N(AT$1:AT$8=AT4))&gt;1,"重复","不")</f>
        <v>不</v>
      </c>
    </row>
    <row r="4" spans="1:51">
      <c r="A4" s="84">
        <v>2</v>
      </c>
      <c r="B4" s="85" t="s">
        <v>67</v>
      </c>
      <c r="C4" s="146" t="s">
        <v>152</v>
      </c>
      <c r="D4" s="107" t="s">
        <v>37</v>
      </c>
      <c r="E4" s="86" t="str">
        <f>IF(VALUE(MID(D3,17,1))/2=INT(VALUE(MID(D3,17,1))/2),"女","男")</f>
        <v>男</v>
      </c>
      <c r="F4" s="118">
        <f>DATE(MID(D3,7,4),MID(D3,11,2),MID(D3,13,2))</f>
        <v>31902</v>
      </c>
      <c r="G4" s="102">
        <v>13699255824</v>
      </c>
      <c r="H4" s="102" t="s">
        <v>69</v>
      </c>
      <c r="I4" s="108">
        <v>44562</v>
      </c>
      <c r="J4" s="80"/>
      <c r="K4" s="117">
        <v>13000</v>
      </c>
      <c r="L4" s="114">
        <f>VLOOKUP($D3,社保!$C:$Z,MATCH(L$1,社保!$C$1:$Z$1,0),FALSE)</f>
        <v>428.8</v>
      </c>
      <c r="M4" s="114">
        <f>VLOOKUP($D3,社保!$C:$Z,MATCH(M$1,社保!$C$1:$Z$1,0),FALSE)+VLOOKUP($D3,社保!$C:$Z,MATCH("个人大病",社保!$C$1:$Z$1,0),FALSE)</f>
        <v>110.2</v>
      </c>
      <c r="N4" s="114">
        <f>VLOOKUP($D3,社保!$C:$Z,MATCH(N$1,社保!$C$1:$Z$1,0),FALSE)</f>
        <v>26.8</v>
      </c>
      <c r="O4" s="114">
        <f>VLOOKUP($D4,社保!$C:$Z,MATCH(O$1,社保!$C$1:$Z$1,0),FALSE)</f>
        <v>316</v>
      </c>
      <c r="P4" s="114">
        <f t="shared" ref="P4:P21" si="0">SUM(L4:O4)</f>
        <v>881.8</v>
      </c>
      <c r="Q4" s="87"/>
      <c r="R4" s="88">
        <f>VLOOKUP($D4,个税系统表!$D:$AN,MATCH(海淀分公司工资表!R$1,个税系统表!$D$1:$AM$1,0),FALSE)</f>
        <v>13000</v>
      </c>
      <c r="S4" s="88">
        <f>VLOOKUP($D4,个税系统表!$D:$AN,MATCH(海淀分公司工资表!S$1,个税系统表!$D$1:$AM$1,0),FALSE)</f>
        <v>5000</v>
      </c>
      <c r="T4" s="88">
        <f>VLOOKUP($D4,个税系统表!$D:$AN,MATCH(海淀分公司工资表!T$1,个税系统表!$D$1:$AM$1,0),FALSE)</f>
        <v>881.8</v>
      </c>
      <c r="U4" s="88">
        <f>VLOOKUP($D4,个税系统表!$D:$AN,MATCH(海淀分公司工资表!U$2,个税系统表!$D$1:$AM$1,0),FALSE)</f>
        <v>0</v>
      </c>
      <c r="V4" s="88">
        <f>VLOOKUP($D4,个税系统表!$D:$AN,MATCH(海淀分公司工资表!V$2,个税系统表!$D$1:$AM$1,0),FALSE)</f>
        <v>0</v>
      </c>
      <c r="W4" s="88">
        <f>VLOOKUP($D4,个税系统表!$D:$AN,MATCH(海淀分公司工资表!W$2,个税系统表!$D$1:$AM$1,0),FALSE)</f>
        <v>0</v>
      </c>
      <c r="X4" s="88">
        <f>VLOOKUP($D4,个税系统表!$D:$AN,MATCH(海淀分公司工资表!X$2,个税系统表!$D$1:$AM$1,0),FALSE)</f>
        <v>1500</v>
      </c>
      <c r="Y4" s="88">
        <f>VLOOKUP($D4,个税系统表!$D:$AN,MATCH(海淀分公司工资表!Y$2,个税系统表!$D$1:$AM$1,0),FALSE)</f>
        <v>0</v>
      </c>
      <c r="Z4" s="87"/>
      <c r="AA4" s="88">
        <f t="shared" ref="AA4:AA21" si="1">SUM(U4:Z4)</f>
        <v>1500</v>
      </c>
      <c r="AB4" s="88">
        <f>VLOOKUP($D4,个税系统表!$D:$AN,MATCH(海淀分公司工资表!AB$1,个税系统表!$D$1:$AM$1,0),FALSE)</f>
        <v>0</v>
      </c>
      <c r="AC4" s="88">
        <f>VLOOKUP($D4,个税系统表!$D:$AN,MATCH(海淀分公司工资表!AC$1,个税系统表!$D$1:$AM$1,0),FALSE)</f>
        <v>5618.2</v>
      </c>
      <c r="AD4" s="88">
        <f>VLOOKUP($D4,个税系统表!$D:$AN,MATCH(海淀分公司工资表!AD$1,个税系统表!$D$1:$AM$1,0),FALSE)</f>
        <v>168.55</v>
      </c>
      <c r="AE4" s="88">
        <f>VLOOKUP($D4,个税系统表!$D:$AN,MATCH(海淀分公司工资表!AE$1,个税系统表!$D$1:$AM$1,0),FALSE)</f>
        <v>0</v>
      </c>
      <c r="AF4" s="88">
        <f>VLOOKUP($D4,个税系统表!$D:$AN,MATCH(海淀分公司工资表!AF$1,个税系统表!$D$1:$AM$1,0),FALSE)</f>
        <v>168.55</v>
      </c>
      <c r="AG4" s="123">
        <f t="shared" ref="AG4:AG21" si="2">K4-P4-Q4-AF4</f>
        <v>11949.650000000001</v>
      </c>
      <c r="AH4" s="89"/>
      <c r="AI4" s="144">
        <f t="shared" ref="AI4:AI21" si="3">AG4+AH4</f>
        <v>11949.650000000001</v>
      </c>
      <c r="AJ4" s="114">
        <f>VLOOKUP($H4,缴费比例!$B:$O,MATCH(AJ$1,缴费比例!$B$1:$O$1,0),FALSE)</f>
        <v>170</v>
      </c>
      <c r="AK4" s="114">
        <f>VLOOKUP($D4,社保!$C:$Z,MATCH(AK$1,社保!$C$1:$Z$1,0),FALSE)</f>
        <v>857.6</v>
      </c>
      <c r="AL4" s="114">
        <f>VLOOKUP($D4,社保!$C:$Z,MATCH(AL$1,社保!$C$1:$Z$1,0),FALSE)</f>
        <v>525.28</v>
      </c>
      <c r="AM4" s="114">
        <f>VLOOKUP($D4,社保!$C:$Z,MATCH(AM$1,社保!$C$1:$Z$1,0),FALSE)</f>
        <v>26.8</v>
      </c>
      <c r="AN4" s="114">
        <f>VLOOKUP($D4,社保!$C:$Z,MATCH(AN$1,社保!$C$1:$Z$1,0),FALSE)</f>
        <v>10.72</v>
      </c>
      <c r="AO4" s="114">
        <f>VLOOKUP($D4,社保!$C:$Z,MATCH(AO$1,社保!$C$1:$Z$1,0),FALSE)</f>
        <v>316</v>
      </c>
      <c r="AP4" s="114">
        <f t="shared" ref="AP4:AP21" si="4">SUM(AK4:AO4)</f>
        <v>1736.4</v>
      </c>
      <c r="AQ4" s="114">
        <v>2</v>
      </c>
      <c r="AR4" s="114">
        <f t="shared" ref="AR4:AR21" si="5">K4+AJ4+AP4+AQ4</f>
        <v>14908.4</v>
      </c>
      <c r="AS4" s="115">
        <v>6.7199999999999996E-2</v>
      </c>
      <c r="AT4" s="127" t="s">
        <v>181</v>
      </c>
      <c r="AU4" s="130" t="s">
        <v>170</v>
      </c>
      <c r="AV4" s="130" t="s">
        <v>169</v>
      </c>
      <c r="AW4" s="90" t="str">
        <f t="shared" ref="AW4:AW21" si="6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  <c r="AX4" s="90" t="str">
        <f t="shared" ref="AX4:AX21" si="7">IF(SUMPRODUCT(N(D$1:D$8=E5))&gt;1,"重复","不")</f>
        <v>不</v>
      </c>
      <c r="AY4" s="90" t="str">
        <f t="shared" ref="AY4:AY21" si="8">IF(SUMPRODUCT(N(AT$1:AT$8=AT5))&gt;1,"重复","不")</f>
        <v>不</v>
      </c>
    </row>
    <row r="5" spans="1:51">
      <c r="A5" s="84">
        <v>3</v>
      </c>
      <c r="B5" s="85" t="s">
        <v>67</v>
      </c>
      <c r="C5" s="146" t="s">
        <v>38</v>
      </c>
      <c r="D5" s="107" t="s">
        <v>39</v>
      </c>
      <c r="E5" s="86" t="str">
        <f t="shared" ref="E5:E21" si="9">IF(VALUE(MID(D5,17,1))/2=INT(VALUE(MID(D5,17,1))/2),"女","男")</f>
        <v>男</v>
      </c>
      <c r="F5" s="118">
        <f t="shared" ref="F5:F21" si="10">DATE(MID(D5,7,4),MID(D5,11,2),MID(D5,13,2))</f>
        <v>35232</v>
      </c>
      <c r="G5" s="102">
        <v>18611179223</v>
      </c>
      <c r="H5" s="102" t="s">
        <v>69</v>
      </c>
      <c r="I5" s="108">
        <v>44562</v>
      </c>
      <c r="J5" s="80"/>
      <c r="K5" s="117">
        <v>11217</v>
      </c>
      <c r="L5" s="114">
        <f>VLOOKUP($D5,社保!$C:$Z,MATCH(L$1,社保!$C$1:$Z$1,0),FALSE)</f>
        <v>428.8</v>
      </c>
      <c r="M5" s="114">
        <f>VLOOKUP($D5,社保!$C:$Z,MATCH(M$1,社保!$C$1:$Z$1,0),FALSE)+VLOOKUP($D5,社保!$C:$Z,MATCH("个人大病",社保!$C$1:$Z$1,0),FALSE)</f>
        <v>110.2</v>
      </c>
      <c r="N5" s="114">
        <f>VLOOKUP($D5,社保!$C:$Z,MATCH(N$1,社保!$C$1:$Z$1,0),FALSE)</f>
        <v>26.8</v>
      </c>
      <c r="O5" s="114">
        <f>VLOOKUP($D5,社保!$C:$Z,MATCH(O$1,社保!$C$1:$Z$1,0),FALSE)</f>
        <v>316</v>
      </c>
      <c r="P5" s="114">
        <f t="shared" si="0"/>
        <v>881.8</v>
      </c>
      <c r="Q5" s="87"/>
      <c r="R5" s="88">
        <f>VLOOKUP($D5,个税系统表!$D:$AN,MATCH(海淀分公司工资表!R$1,个税系统表!$D$1:$AM$1,0),FALSE)</f>
        <v>11217</v>
      </c>
      <c r="S5" s="88">
        <f>VLOOKUP($D5,个税系统表!$D:$AN,MATCH(海淀分公司工资表!S$1,个税系统表!$D$1:$AM$1,0),FALSE)</f>
        <v>5000</v>
      </c>
      <c r="T5" s="88">
        <f>VLOOKUP($D5,个税系统表!$D:$AN,MATCH(海淀分公司工资表!T$1,个税系统表!$D$1:$AM$1,0),FALSE)</f>
        <v>881.8</v>
      </c>
      <c r="U5" s="88">
        <f>VLOOKUP($D5,个税系统表!$D:$AN,MATCH(海淀分公司工资表!U$2,个税系统表!$D$1:$AM$1,0),FALSE)</f>
        <v>0</v>
      </c>
      <c r="V5" s="88">
        <f>VLOOKUP($D5,个税系统表!$D:$AN,MATCH(海淀分公司工资表!V$2,个税系统表!$D$1:$AM$1,0),FALSE)</f>
        <v>0</v>
      </c>
      <c r="W5" s="88">
        <f>VLOOKUP($D5,个税系统表!$D:$AN,MATCH(海淀分公司工资表!W$2,个税系统表!$D$1:$AM$1,0),FALSE)</f>
        <v>0</v>
      </c>
      <c r="X5" s="88">
        <f>VLOOKUP($D5,个税系统表!$D:$AN,MATCH(海淀分公司工资表!X$2,个税系统表!$D$1:$AM$1,0),FALSE)</f>
        <v>0</v>
      </c>
      <c r="Y5" s="88">
        <f>VLOOKUP($D5,个税系统表!$D:$AN,MATCH(海淀分公司工资表!Y$2,个税系统表!$D$1:$AM$1,0),FALSE)</f>
        <v>0</v>
      </c>
      <c r="Z5" s="87"/>
      <c r="AA5" s="88">
        <f t="shared" si="1"/>
        <v>0</v>
      </c>
      <c r="AB5" s="88">
        <f>VLOOKUP($D5,个税系统表!$D:$AN,MATCH(海淀分公司工资表!AB$1,个税系统表!$D$1:$AM$1,0),FALSE)</f>
        <v>0</v>
      </c>
      <c r="AC5" s="88">
        <f>VLOOKUP($D5,个税系统表!$D:$AN,MATCH(海淀分公司工资表!AC$1,个税系统表!$D$1:$AM$1,0),FALSE)</f>
        <v>5335.2</v>
      </c>
      <c r="AD5" s="88">
        <f>VLOOKUP($D5,个税系统表!$D:$AN,MATCH(海淀分公司工资表!AD$1,个税系统表!$D$1:$AM$1,0),FALSE)</f>
        <v>160.06</v>
      </c>
      <c r="AE5" s="88">
        <f>VLOOKUP($D5,个税系统表!$D:$AN,MATCH(海淀分公司工资表!AE$1,个税系统表!$D$1:$AM$1,0),FALSE)</f>
        <v>0</v>
      </c>
      <c r="AF5" s="88">
        <f>VLOOKUP($D5,个税系统表!$D:$AN,MATCH(海淀分公司工资表!AF$1,个税系统表!$D$1:$AM$1,0),FALSE)</f>
        <v>160.06</v>
      </c>
      <c r="AG5" s="123">
        <f t="shared" si="2"/>
        <v>10175.140000000001</v>
      </c>
      <c r="AH5" s="89"/>
      <c r="AI5" s="144">
        <f t="shared" si="3"/>
        <v>10175.140000000001</v>
      </c>
      <c r="AJ5" s="114">
        <f>VLOOKUP($H5,缴费比例!$B:$O,MATCH(AJ$1,缴费比例!$B$1:$O$1,0),FALSE)</f>
        <v>170</v>
      </c>
      <c r="AK5" s="114">
        <f>VLOOKUP($D5,社保!$C:$Z,MATCH(AK$1,社保!$C$1:$Z$1,0),FALSE)</f>
        <v>857.6</v>
      </c>
      <c r="AL5" s="114">
        <f>VLOOKUP($D5,社保!$C:$Z,MATCH(AL$1,社保!$C$1:$Z$1,0),FALSE)</f>
        <v>525.28</v>
      </c>
      <c r="AM5" s="114">
        <f>VLOOKUP($D5,社保!$C:$Z,MATCH(AM$1,社保!$C$1:$Z$1,0),FALSE)</f>
        <v>26.8</v>
      </c>
      <c r="AN5" s="114">
        <f>VLOOKUP($D5,社保!$C:$Z,MATCH(AN$1,社保!$C$1:$Z$1,0),FALSE)</f>
        <v>10.72</v>
      </c>
      <c r="AO5" s="114">
        <f>VLOOKUP($D5,社保!$C:$Z,MATCH(AO$1,社保!$C$1:$Z$1,0),FALSE)</f>
        <v>316</v>
      </c>
      <c r="AP5" s="114">
        <f t="shared" si="4"/>
        <v>1736.4</v>
      </c>
      <c r="AQ5" s="114">
        <v>2</v>
      </c>
      <c r="AR5" s="114">
        <f t="shared" si="5"/>
        <v>13125.4</v>
      </c>
      <c r="AS5" s="115">
        <v>6.7199999999999996E-2</v>
      </c>
      <c r="AT5" s="128" t="s">
        <v>183</v>
      </c>
      <c r="AU5" s="130" t="s">
        <v>170</v>
      </c>
      <c r="AV5" s="130" t="s">
        <v>169</v>
      </c>
      <c r="AW5" s="90" t="str">
        <f t="shared" si="6"/>
        <v>正确</v>
      </c>
      <c r="AX5" s="90" t="str">
        <f t="shared" si="7"/>
        <v>不</v>
      </c>
      <c r="AY5" s="90" t="str">
        <f t="shared" si="8"/>
        <v>不</v>
      </c>
    </row>
    <row r="6" spans="1:51">
      <c r="A6" s="84">
        <v>4</v>
      </c>
      <c r="B6" s="85" t="s">
        <v>67</v>
      </c>
      <c r="C6" s="146" t="s">
        <v>2</v>
      </c>
      <c r="D6" s="109" t="s">
        <v>5</v>
      </c>
      <c r="E6" s="86" t="str">
        <f t="shared" si="9"/>
        <v>男</v>
      </c>
      <c r="F6" s="118">
        <f t="shared" si="10"/>
        <v>36028</v>
      </c>
      <c r="G6" s="102">
        <v>17633826753</v>
      </c>
      <c r="H6" s="102" t="s">
        <v>69</v>
      </c>
      <c r="I6" s="108">
        <v>44562</v>
      </c>
      <c r="J6" s="80"/>
      <c r="K6" s="117">
        <v>8900</v>
      </c>
      <c r="L6" s="114">
        <f>VLOOKUP($D6,社保!$C:$Z,MATCH(L$1,社保!$C$1:$Z$1,0),FALSE)</f>
        <v>428.8</v>
      </c>
      <c r="M6" s="114">
        <f>VLOOKUP($D6,社保!$C:$Z,MATCH(M$1,社保!$C$1:$Z$1,0),FALSE)+VLOOKUP($D6,社保!$C:$Z,MATCH("个人大病",社保!$C$1:$Z$1,0),FALSE)</f>
        <v>110.2</v>
      </c>
      <c r="N6" s="114">
        <f>VLOOKUP($D6,社保!$C:$Z,MATCH(N$1,社保!$C$1:$Z$1,0),FALSE)</f>
        <v>26.8</v>
      </c>
      <c r="O6" s="114">
        <f>VLOOKUP($D6,社保!$C:$Z,MATCH(O$1,社保!$C$1:$Z$1,0),FALSE)</f>
        <v>316</v>
      </c>
      <c r="P6" s="114">
        <f t="shared" si="0"/>
        <v>881.8</v>
      </c>
      <c r="Q6" s="87"/>
      <c r="R6" s="88">
        <f>VLOOKUP($D6,个税系统表!$D:$AN,MATCH(海淀分公司工资表!R$1,个税系统表!$D$1:$AM$1,0),FALSE)</f>
        <v>8900</v>
      </c>
      <c r="S6" s="88">
        <f>VLOOKUP($D6,个税系统表!$D:$AN,MATCH(海淀分公司工资表!S$1,个税系统表!$D$1:$AM$1,0),FALSE)</f>
        <v>5000</v>
      </c>
      <c r="T6" s="88">
        <f>VLOOKUP($D6,个税系统表!$D:$AN,MATCH(海淀分公司工资表!T$1,个税系统表!$D$1:$AM$1,0),FALSE)</f>
        <v>881.8</v>
      </c>
      <c r="U6" s="88">
        <f>VLOOKUP($D6,个税系统表!$D:$AN,MATCH(海淀分公司工资表!U$2,个税系统表!$D$1:$AM$1,0),FALSE)</f>
        <v>0</v>
      </c>
      <c r="V6" s="88">
        <f>VLOOKUP($D6,个税系统表!$D:$AN,MATCH(海淀分公司工资表!V$2,个税系统表!$D$1:$AM$1,0),FALSE)</f>
        <v>0</v>
      </c>
      <c r="W6" s="88">
        <f>VLOOKUP($D6,个税系统表!$D:$AN,MATCH(海淀分公司工资表!W$2,个税系统表!$D$1:$AM$1,0),FALSE)</f>
        <v>0</v>
      </c>
      <c r="X6" s="88">
        <f>VLOOKUP($D6,个税系统表!$D:$AN,MATCH(海淀分公司工资表!X$2,个税系统表!$D$1:$AM$1,0),FALSE)</f>
        <v>0</v>
      </c>
      <c r="Y6" s="88">
        <f>VLOOKUP($D6,个税系统表!$D:$AN,MATCH(海淀分公司工资表!Y$2,个税系统表!$D$1:$AM$1,0),FALSE)</f>
        <v>0</v>
      </c>
      <c r="Z6" s="87"/>
      <c r="AA6" s="88">
        <f t="shared" si="1"/>
        <v>0</v>
      </c>
      <c r="AB6" s="88">
        <f>VLOOKUP($D6,个税系统表!$D:$AN,MATCH(海淀分公司工资表!AB$1,个税系统表!$D$1:$AM$1,0),FALSE)</f>
        <v>0</v>
      </c>
      <c r="AC6" s="88">
        <f>VLOOKUP($D6,个税系统表!$D:$AN,MATCH(海淀分公司工资表!AC$1,个税系统表!$D$1:$AM$1,0),FALSE)</f>
        <v>3018.2</v>
      </c>
      <c r="AD6" s="88">
        <f>VLOOKUP($D6,个税系统表!$D:$AN,MATCH(海淀分公司工资表!AD$1,个税系统表!$D$1:$AM$1,0),FALSE)</f>
        <v>90.55</v>
      </c>
      <c r="AE6" s="88">
        <f>VLOOKUP($D6,个税系统表!$D:$AN,MATCH(海淀分公司工资表!AE$1,个税系统表!$D$1:$AM$1,0),FALSE)</f>
        <v>0</v>
      </c>
      <c r="AF6" s="88">
        <f>VLOOKUP($D6,个税系统表!$D:$AN,MATCH(海淀分公司工资表!AF$1,个税系统表!$D$1:$AM$1,0),FALSE)</f>
        <v>90.55</v>
      </c>
      <c r="AG6" s="123">
        <f t="shared" si="2"/>
        <v>7927.65</v>
      </c>
      <c r="AH6" s="89"/>
      <c r="AI6" s="144">
        <f t="shared" si="3"/>
        <v>7927.65</v>
      </c>
      <c r="AJ6" s="114">
        <f>VLOOKUP($H6,缴费比例!$B:$O,MATCH(AJ$1,缴费比例!$B$1:$O$1,0),FALSE)</f>
        <v>170</v>
      </c>
      <c r="AK6" s="114">
        <f>VLOOKUP($D6,社保!$C:$Z,MATCH(AK$1,社保!$C$1:$Z$1,0),FALSE)</f>
        <v>857.6</v>
      </c>
      <c r="AL6" s="114">
        <f>VLOOKUP($D6,社保!$C:$Z,MATCH(AL$1,社保!$C$1:$Z$1,0),FALSE)</f>
        <v>525.28</v>
      </c>
      <c r="AM6" s="114">
        <f>VLOOKUP($D6,社保!$C:$Z,MATCH(AM$1,社保!$C$1:$Z$1,0),FALSE)</f>
        <v>26.8</v>
      </c>
      <c r="AN6" s="114">
        <f>VLOOKUP($D6,社保!$C:$Z,MATCH(AN$1,社保!$C$1:$Z$1,0),FALSE)</f>
        <v>10.72</v>
      </c>
      <c r="AO6" s="114">
        <f>VLOOKUP($D6,社保!$C:$Z,MATCH(AO$1,社保!$C$1:$Z$1,0),FALSE)</f>
        <v>316</v>
      </c>
      <c r="AP6" s="114">
        <f t="shared" si="4"/>
        <v>1736.4</v>
      </c>
      <c r="AQ6" s="114">
        <v>2</v>
      </c>
      <c r="AR6" s="114">
        <f t="shared" si="5"/>
        <v>10808.4</v>
      </c>
      <c r="AS6" s="115">
        <v>6.7199999999999996E-2</v>
      </c>
      <c r="AT6" s="129" t="s">
        <v>184</v>
      </c>
      <c r="AU6" s="130" t="s">
        <v>172</v>
      </c>
      <c r="AV6" s="130" t="s">
        <v>171</v>
      </c>
      <c r="AW6" s="90" t="str">
        <f t="shared" si="6"/>
        <v>正确</v>
      </c>
      <c r="AX6" s="90" t="str">
        <f t="shared" si="7"/>
        <v>不</v>
      </c>
      <c r="AY6" s="90" t="str">
        <f t="shared" si="8"/>
        <v>不</v>
      </c>
    </row>
    <row r="7" spans="1:51">
      <c r="A7" s="84">
        <v>5</v>
      </c>
      <c r="B7" s="85" t="s">
        <v>67</v>
      </c>
      <c r="C7" s="146" t="s">
        <v>1</v>
      </c>
      <c r="D7" s="109" t="s">
        <v>4</v>
      </c>
      <c r="E7" s="86" t="str">
        <f t="shared" si="9"/>
        <v>男</v>
      </c>
      <c r="F7" s="118">
        <f t="shared" si="10"/>
        <v>36294</v>
      </c>
      <c r="G7" s="102">
        <v>15531020153</v>
      </c>
      <c r="H7" s="102" t="s">
        <v>69</v>
      </c>
      <c r="I7" s="108">
        <v>44562</v>
      </c>
      <c r="J7" s="80"/>
      <c r="K7" s="117">
        <v>8800</v>
      </c>
      <c r="L7" s="114">
        <f>VLOOKUP($D7,社保!$C:$Z,MATCH(L$1,社保!$C$1:$Z$1,0),FALSE)</f>
        <v>428.8</v>
      </c>
      <c r="M7" s="114">
        <f>VLOOKUP($D7,社保!$C:$Z,MATCH(M$1,社保!$C$1:$Z$1,0),FALSE)+VLOOKUP($D7,社保!$C:$Z,MATCH("个人大病",社保!$C$1:$Z$1,0),FALSE)</f>
        <v>110.2</v>
      </c>
      <c r="N7" s="114">
        <f>VLOOKUP($D7,社保!$C:$Z,MATCH(N$1,社保!$C$1:$Z$1,0),FALSE)</f>
        <v>26.8</v>
      </c>
      <c r="O7" s="114">
        <f>VLOOKUP($D7,社保!$C:$Z,MATCH(O$1,社保!$C$1:$Z$1,0),FALSE)</f>
        <v>316</v>
      </c>
      <c r="P7" s="114">
        <f t="shared" si="0"/>
        <v>881.8</v>
      </c>
      <c r="Q7" s="87"/>
      <c r="R7" s="88">
        <f>VLOOKUP($D7,个税系统表!$D:$AN,MATCH(海淀分公司工资表!R$1,个税系统表!$D$1:$AM$1,0),FALSE)</f>
        <v>8800</v>
      </c>
      <c r="S7" s="88">
        <f>VLOOKUP($D7,个税系统表!$D:$AN,MATCH(海淀分公司工资表!S$1,个税系统表!$D$1:$AM$1,0),FALSE)</f>
        <v>5000</v>
      </c>
      <c r="T7" s="88">
        <f>VLOOKUP($D7,个税系统表!$D:$AN,MATCH(海淀分公司工资表!T$1,个税系统表!$D$1:$AM$1,0),FALSE)</f>
        <v>881.8</v>
      </c>
      <c r="U7" s="88">
        <f>VLOOKUP($D7,个税系统表!$D:$AN,MATCH(海淀分公司工资表!U$2,个税系统表!$D$1:$AM$1,0),FALSE)</f>
        <v>0</v>
      </c>
      <c r="V7" s="88">
        <f>VLOOKUP($D7,个税系统表!$D:$AN,MATCH(海淀分公司工资表!V$2,个税系统表!$D$1:$AM$1,0),FALSE)</f>
        <v>0</v>
      </c>
      <c r="W7" s="88">
        <f>VLOOKUP($D7,个税系统表!$D:$AN,MATCH(海淀分公司工资表!W$2,个税系统表!$D$1:$AM$1,0),FALSE)</f>
        <v>0</v>
      </c>
      <c r="X7" s="88">
        <f>VLOOKUP($D7,个税系统表!$D:$AN,MATCH(海淀分公司工资表!X$2,个税系统表!$D$1:$AM$1,0),FALSE)</f>
        <v>1500</v>
      </c>
      <c r="Y7" s="88">
        <f>VLOOKUP($D7,个税系统表!$D:$AN,MATCH(海淀分公司工资表!Y$2,个税系统表!$D$1:$AM$1,0),FALSE)</f>
        <v>0</v>
      </c>
      <c r="Z7" s="87"/>
      <c r="AA7" s="88">
        <f t="shared" si="1"/>
        <v>1500</v>
      </c>
      <c r="AB7" s="88">
        <f>VLOOKUP($D7,个税系统表!$D:$AN,MATCH(海淀分公司工资表!AB$1,个税系统表!$D$1:$AM$1,0),FALSE)</f>
        <v>0</v>
      </c>
      <c r="AC7" s="88">
        <f>VLOOKUP($D7,个税系统表!$D:$AN,MATCH(海淀分公司工资表!AC$1,个税系统表!$D$1:$AM$1,0),FALSE)</f>
        <v>1418.2</v>
      </c>
      <c r="AD7" s="88">
        <f>VLOOKUP($D7,个税系统表!$D:$AN,MATCH(海淀分公司工资表!AD$1,个税系统表!$D$1:$AM$1,0),FALSE)</f>
        <v>42.55</v>
      </c>
      <c r="AE7" s="88">
        <f>VLOOKUP($D7,个税系统表!$D:$AN,MATCH(海淀分公司工资表!AE$1,个税系统表!$D$1:$AM$1,0),FALSE)</f>
        <v>0</v>
      </c>
      <c r="AF7" s="88">
        <f>VLOOKUP($D7,个税系统表!$D:$AN,MATCH(海淀分公司工资表!AF$1,个税系统表!$D$1:$AM$1,0),FALSE)</f>
        <v>42.55</v>
      </c>
      <c r="AG7" s="123">
        <f t="shared" si="2"/>
        <v>7875.65</v>
      </c>
      <c r="AH7" s="89"/>
      <c r="AI7" s="144">
        <f t="shared" si="3"/>
        <v>7875.65</v>
      </c>
      <c r="AJ7" s="114">
        <f>VLOOKUP($H7,缴费比例!$B:$O,MATCH(AJ$1,缴费比例!$B$1:$O$1,0),FALSE)</f>
        <v>170</v>
      </c>
      <c r="AK7" s="114">
        <f>VLOOKUP($D7,社保!$C:$Z,MATCH(AK$1,社保!$C$1:$Z$1,0),FALSE)</f>
        <v>857.6</v>
      </c>
      <c r="AL7" s="114">
        <f>VLOOKUP($D7,社保!$C:$Z,MATCH(AL$1,社保!$C$1:$Z$1,0),FALSE)</f>
        <v>525.28</v>
      </c>
      <c r="AM7" s="114">
        <f>VLOOKUP($D7,社保!$C:$Z,MATCH(AM$1,社保!$C$1:$Z$1,0),FALSE)</f>
        <v>26.8</v>
      </c>
      <c r="AN7" s="114">
        <f>VLOOKUP($D7,社保!$C:$Z,MATCH(AN$1,社保!$C$1:$Z$1,0),FALSE)</f>
        <v>10.72</v>
      </c>
      <c r="AO7" s="114">
        <f>VLOOKUP($D7,社保!$C:$Z,MATCH(AO$1,社保!$C$1:$Z$1,0),FALSE)</f>
        <v>316</v>
      </c>
      <c r="AP7" s="114">
        <f t="shared" si="4"/>
        <v>1736.4</v>
      </c>
      <c r="AQ7" s="114">
        <v>2</v>
      </c>
      <c r="AR7" s="114">
        <f t="shared" si="5"/>
        <v>10708.4</v>
      </c>
      <c r="AS7" s="115">
        <v>6.7199999999999996E-2</v>
      </c>
      <c r="AT7" s="128" t="s">
        <v>185</v>
      </c>
      <c r="AU7" s="130" t="s">
        <v>172</v>
      </c>
      <c r="AV7" s="130" t="s">
        <v>173</v>
      </c>
      <c r="AW7" s="90" t="str">
        <f t="shared" si="6"/>
        <v>正确</v>
      </c>
      <c r="AX7" s="90" t="str">
        <f t="shared" si="7"/>
        <v>不</v>
      </c>
      <c r="AY7" s="90" t="str">
        <f t="shared" si="8"/>
        <v>不</v>
      </c>
    </row>
    <row r="8" spans="1:51">
      <c r="A8" s="84">
        <v>6</v>
      </c>
      <c r="B8" s="85" t="s">
        <v>67</v>
      </c>
      <c r="C8" s="91" t="s">
        <v>40</v>
      </c>
      <c r="D8" s="110" t="s">
        <v>41</v>
      </c>
      <c r="E8" s="86" t="str">
        <f t="shared" si="9"/>
        <v>男</v>
      </c>
      <c r="F8" s="118">
        <f t="shared" si="10"/>
        <v>36622</v>
      </c>
      <c r="G8" s="103">
        <v>17611033538</v>
      </c>
      <c r="H8" s="102" t="s">
        <v>69</v>
      </c>
      <c r="I8" s="108">
        <v>44576</v>
      </c>
      <c r="J8" s="80"/>
      <c r="K8" s="117">
        <v>3280</v>
      </c>
      <c r="L8" s="114">
        <f>VLOOKUP($D8,社保!$C:$Z,MATCH(L$1,社保!$C$1:$Z$1,0),FALSE)</f>
        <v>428.8</v>
      </c>
      <c r="M8" s="114">
        <f>VLOOKUP($D8,社保!$C:$Z,MATCH(M$1,社保!$C$1:$Z$1,0),FALSE)+VLOOKUP($D8,社保!$C:$Z,MATCH("个人大病",社保!$C$1:$Z$1,0),FALSE)</f>
        <v>110.2</v>
      </c>
      <c r="N8" s="114">
        <f>VLOOKUP($D8,社保!$C:$Z,MATCH(N$1,社保!$C$1:$Z$1,0),FALSE)</f>
        <v>26.8</v>
      </c>
      <c r="O8" s="114">
        <f>VLOOKUP($D8,社保!$C:$Z,MATCH(O$1,社保!$C$1:$Z$1,0),FALSE)</f>
        <v>456</v>
      </c>
      <c r="P8" s="114">
        <f t="shared" si="0"/>
        <v>1021.8</v>
      </c>
      <c r="Q8" s="87"/>
      <c r="R8" s="88">
        <f>VLOOKUP($D8,个税系统表!$D:$AN,MATCH(海淀分公司工资表!R$1,个税系统表!$D$1:$AM$1,0),FALSE)</f>
        <v>3280</v>
      </c>
      <c r="S8" s="88">
        <f>VLOOKUP($D8,个税系统表!$D:$AN,MATCH(海淀分公司工资表!S$1,个税系统表!$D$1:$AM$1,0),FALSE)</f>
        <v>5000</v>
      </c>
      <c r="T8" s="88">
        <f>VLOOKUP($D8,个税系统表!$D:$AN,MATCH(海淀分公司工资表!T$1,个税系统表!$D$1:$AM$1,0),FALSE)</f>
        <v>1021.8</v>
      </c>
      <c r="U8" s="88">
        <f>VLOOKUP($D8,个税系统表!$D:$AN,MATCH(海淀分公司工资表!U$2,个税系统表!$D$1:$AM$1,0),FALSE)</f>
        <v>0</v>
      </c>
      <c r="V8" s="88">
        <f>VLOOKUP($D8,个税系统表!$D:$AN,MATCH(海淀分公司工资表!V$2,个税系统表!$D$1:$AM$1,0),FALSE)</f>
        <v>0</v>
      </c>
      <c r="W8" s="88">
        <f>VLOOKUP($D8,个税系统表!$D:$AN,MATCH(海淀分公司工资表!W$2,个税系统表!$D$1:$AM$1,0),FALSE)</f>
        <v>0</v>
      </c>
      <c r="X8" s="88">
        <f>VLOOKUP($D8,个税系统表!$D:$AN,MATCH(海淀分公司工资表!X$2,个税系统表!$D$1:$AM$1,0),FALSE)</f>
        <v>0</v>
      </c>
      <c r="Y8" s="88">
        <f>VLOOKUP($D8,个税系统表!$D:$AN,MATCH(海淀分公司工资表!Y$2,个税系统表!$D$1:$AM$1,0),FALSE)</f>
        <v>0</v>
      </c>
      <c r="Z8" s="87"/>
      <c r="AA8" s="88">
        <f t="shared" si="1"/>
        <v>0</v>
      </c>
      <c r="AB8" s="88">
        <f>VLOOKUP($D8,个税系统表!$D:$AN,MATCH(海淀分公司工资表!AB$1,个税系统表!$D$1:$AM$1,0),FALSE)</f>
        <v>0</v>
      </c>
      <c r="AC8" s="88">
        <f>VLOOKUP($D8,个税系统表!$D:$AN,MATCH(海淀分公司工资表!AC$1,个税系统表!$D$1:$AM$1,0),FALSE)</f>
        <v>0</v>
      </c>
      <c r="AD8" s="88">
        <f>VLOOKUP($D8,个税系统表!$D:$AN,MATCH(海淀分公司工资表!AD$1,个税系统表!$D$1:$AM$1,0),FALSE)</f>
        <v>0</v>
      </c>
      <c r="AE8" s="88">
        <f>VLOOKUP($D8,个税系统表!$D:$AN,MATCH(海淀分公司工资表!AE$1,个税系统表!$D$1:$AM$1,0),FALSE)</f>
        <v>0</v>
      </c>
      <c r="AF8" s="88">
        <f>VLOOKUP($D8,个税系统表!$D:$AN,MATCH(海淀分公司工资表!AF$1,个税系统表!$D$1:$AM$1,0),FALSE)</f>
        <v>0</v>
      </c>
      <c r="AG8" s="123">
        <f t="shared" si="2"/>
        <v>2258.1999999999998</v>
      </c>
      <c r="AH8" s="89"/>
      <c r="AI8" s="144">
        <f t="shared" si="3"/>
        <v>2258.1999999999998</v>
      </c>
      <c r="AJ8" s="114">
        <f>VLOOKUP($H8,缴费比例!$B:$O,MATCH(AJ$1,缴费比例!$B$1:$O$1,0),FALSE)</f>
        <v>170</v>
      </c>
      <c r="AK8" s="114"/>
      <c r="AL8" s="114"/>
      <c r="AM8" s="114"/>
      <c r="AN8" s="114"/>
      <c r="AO8" s="114"/>
      <c r="AP8" s="114">
        <f t="shared" si="4"/>
        <v>0</v>
      </c>
      <c r="AQ8" s="114">
        <v>2</v>
      </c>
      <c r="AR8" s="114">
        <f t="shared" si="5"/>
        <v>3452</v>
      </c>
      <c r="AS8" s="115">
        <v>6.7199999999999996E-2</v>
      </c>
      <c r="AT8" s="128" t="s">
        <v>186</v>
      </c>
      <c r="AU8" s="130" t="s">
        <v>175</v>
      </c>
      <c r="AV8" s="130" t="s">
        <v>174</v>
      </c>
      <c r="AW8" s="90" t="str">
        <f t="shared" si="6"/>
        <v>正确</v>
      </c>
      <c r="AX8" s="90" t="str">
        <f t="shared" si="7"/>
        <v>不</v>
      </c>
      <c r="AY8" s="90" t="str">
        <f t="shared" si="8"/>
        <v>不</v>
      </c>
    </row>
    <row r="9" spans="1:51">
      <c r="A9" s="84">
        <v>7</v>
      </c>
      <c r="B9" s="85" t="s">
        <v>67</v>
      </c>
      <c r="C9" s="91" t="s">
        <v>42</v>
      </c>
      <c r="D9" s="110" t="s">
        <v>43</v>
      </c>
      <c r="E9" s="86" t="str">
        <f t="shared" si="9"/>
        <v>男</v>
      </c>
      <c r="F9" s="118">
        <f t="shared" si="10"/>
        <v>36771</v>
      </c>
      <c r="G9" s="103">
        <v>13293205606</v>
      </c>
      <c r="H9" s="102" t="s">
        <v>69</v>
      </c>
      <c r="I9" s="108">
        <v>44576</v>
      </c>
      <c r="J9" s="80"/>
      <c r="K9" s="117">
        <v>3280</v>
      </c>
      <c r="L9" s="114">
        <f>VLOOKUP($D9,社保!$C:$Z,MATCH(L$1,社保!$C$1:$Z$1,0),FALSE)</f>
        <v>428.8</v>
      </c>
      <c r="M9" s="114">
        <f>VLOOKUP($D9,社保!$C:$Z,MATCH(M$1,社保!$C$1:$Z$1,0),FALSE)+VLOOKUP($D9,社保!$C:$Z,MATCH("个人大病",社保!$C$1:$Z$1,0),FALSE)</f>
        <v>110.2</v>
      </c>
      <c r="N9" s="114">
        <f>VLOOKUP($D9,社保!$C:$Z,MATCH(N$1,社保!$C$1:$Z$1,0),FALSE)</f>
        <v>26.8</v>
      </c>
      <c r="O9" s="114">
        <f>VLOOKUP($D9,社保!$C:$Z,MATCH(O$1,社保!$C$1:$Z$1,0),FALSE)</f>
        <v>456</v>
      </c>
      <c r="P9" s="114">
        <f t="shared" si="0"/>
        <v>1021.8</v>
      </c>
      <c r="Q9" s="87"/>
      <c r="R9" s="88">
        <f>VLOOKUP($D9,个税系统表!$D:$AN,MATCH(海淀分公司工资表!R$1,个税系统表!$D$1:$AM$1,0),FALSE)</f>
        <v>3280</v>
      </c>
      <c r="S9" s="88">
        <f>VLOOKUP($D9,个税系统表!$D:$AN,MATCH(海淀分公司工资表!S$1,个税系统表!$D$1:$AM$1,0),FALSE)</f>
        <v>5000</v>
      </c>
      <c r="T9" s="88">
        <f>VLOOKUP($D9,个税系统表!$D:$AN,MATCH(海淀分公司工资表!T$1,个税系统表!$D$1:$AM$1,0),FALSE)</f>
        <v>1021.8</v>
      </c>
      <c r="U9" s="88">
        <f>VLOOKUP($D9,个税系统表!$D:$AN,MATCH(海淀分公司工资表!U$2,个税系统表!$D$1:$AM$1,0),FALSE)</f>
        <v>0</v>
      </c>
      <c r="V9" s="88">
        <f>VLOOKUP($D9,个税系统表!$D:$AN,MATCH(海淀分公司工资表!V$2,个税系统表!$D$1:$AM$1,0),FALSE)</f>
        <v>0</v>
      </c>
      <c r="W9" s="88">
        <f>VLOOKUP($D9,个税系统表!$D:$AN,MATCH(海淀分公司工资表!W$2,个税系统表!$D$1:$AM$1,0),FALSE)</f>
        <v>0</v>
      </c>
      <c r="X9" s="88">
        <f>VLOOKUP($D9,个税系统表!$D:$AN,MATCH(海淀分公司工资表!X$2,个税系统表!$D$1:$AM$1,0),FALSE)</f>
        <v>0</v>
      </c>
      <c r="Y9" s="88">
        <f>VLOOKUP($D9,个税系统表!$D:$AN,MATCH(海淀分公司工资表!Y$2,个税系统表!$D$1:$AM$1,0),FALSE)</f>
        <v>0</v>
      </c>
      <c r="Z9" s="87"/>
      <c r="AA9" s="88">
        <f t="shared" si="1"/>
        <v>0</v>
      </c>
      <c r="AB9" s="88">
        <f>VLOOKUP($D9,个税系统表!$D:$AN,MATCH(海淀分公司工资表!AB$1,个税系统表!$D$1:$AM$1,0),FALSE)</f>
        <v>0</v>
      </c>
      <c r="AC9" s="88">
        <f>VLOOKUP($D9,个税系统表!$D:$AN,MATCH(海淀分公司工资表!AC$1,个税系统表!$D$1:$AM$1,0),FALSE)</f>
        <v>0</v>
      </c>
      <c r="AD9" s="88">
        <f>VLOOKUP($D9,个税系统表!$D:$AN,MATCH(海淀分公司工资表!AD$1,个税系统表!$D$1:$AM$1,0),FALSE)</f>
        <v>0</v>
      </c>
      <c r="AE9" s="88">
        <f>VLOOKUP($D9,个税系统表!$D:$AN,MATCH(海淀分公司工资表!AE$1,个税系统表!$D$1:$AM$1,0),FALSE)</f>
        <v>0</v>
      </c>
      <c r="AF9" s="88">
        <f>VLOOKUP($D9,个税系统表!$D:$AN,MATCH(海淀分公司工资表!AF$1,个税系统表!$D$1:$AM$1,0),FALSE)</f>
        <v>0</v>
      </c>
      <c r="AG9" s="123">
        <f t="shared" si="2"/>
        <v>2258.1999999999998</v>
      </c>
      <c r="AH9" s="89"/>
      <c r="AI9" s="144">
        <f t="shared" si="3"/>
        <v>2258.1999999999998</v>
      </c>
      <c r="AJ9" s="114">
        <f>VLOOKUP($H9,缴费比例!$B:$O,MATCH(AJ$1,缴费比例!$B$1:$O$1,0),FALSE)</f>
        <v>170</v>
      </c>
      <c r="AK9" s="114"/>
      <c r="AL9" s="114"/>
      <c r="AM9" s="114"/>
      <c r="AN9" s="114"/>
      <c r="AO9" s="114"/>
      <c r="AP9" s="114">
        <f t="shared" si="4"/>
        <v>0</v>
      </c>
      <c r="AQ9" s="114">
        <v>2</v>
      </c>
      <c r="AR9" s="114">
        <f t="shared" si="5"/>
        <v>3452</v>
      </c>
      <c r="AS9" s="115">
        <v>6.7199999999999996E-2</v>
      </c>
      <c r="AT9" s="128" t="s">
        <v>187</v>
      </c>
      <c r="AU9" s="130" t="s">
        <v>175</v>
      </c>
      <c r="AV9" s="130" t="s">
        <v>176</v>
      </c>
      <c r="AW9" s="90" t="str">
        <f t="shared" si="6"/>
        <v>正确</v>
      </c>
      <c r="AX9" s="90" t="str">
        <f t="shared" si="7"/>
        <v>不</v>
      </c>
      <c r="AY9" s="90" t="str">
        <f t="shared" si="8"/>
        <v>不</v>
      </c>
    </row>
    <row r="10" spans="1:51">
      <c r="A10" s="84">
        <v>8</v>
      </c>
      <c r="B10" s="85" t="s">
        <v>67</v>
      </c>
      <c r="C10" s="91" t="s">
        <v>163</v>
      </c>
      <c r="D10" s="110" t="s">
        <v>44</v>
      </c>
      <c r="E10" s="86" t="str">
        <f t="shared" si="9"/>
        <v>女</v>
      </c>
      <c r="F10" s="118">
        <f t="shared" si="10"/>
        <v>34201</v>
      </c>
      <c r="G10" s="103">
        <v>18513832474</v>
      </c>
      <c r="H10" s="102" t="s">
        <v>69</v>
      </c>
      <c r="I10" s="108">
        <v>44576</v>
      </c>
      <c r="J10" s="80"/>
      <c r="K10" s="117">
        <v>6068.97</v>
      </c>
      <c r="L10" s="114">
        <f>VLOOKUP($D10,社保!$C:$Z,MATCH(L$1,社保!$C$1:$Z$1,0),FALSE)</f>
        <v>428.8</v>
      </c>
      <c r="M10" s="114">
        <f>VLOOKUP($D10,社保!$C:$Z,MATCH(M$1,社保!$C$1:$Z$1,0),FALSE)+VLOOKUP($D10,社保!$C:$Z,MATCH("个人大病",社保!$C$1:$Z$1,0),FALSE)</f>
        <v>110.2</v>
      </c>
      <c r="N10" s="114">
        <f>VLOOKUP($D10,社保!$C:$Z,MATCH(N$1,社保!$C$1:$Z$1,0),FALSE)</f>
        <v>26.8</v>
      </c>
      <c r="O10" s="114">
        <f>VLOOKUP($D10,社保!$C:$Z,MATCH(O$1,社保!$C$1:$Z$1,0),FALSE)</f>
        <v>643</v>
      </c>
      <c r="P10" s="114">
        <f t="shared" si="0"/>
        <v>1208.8</v>
      </c>
      <c r="Q10" s="87"/>
      <c r="R10" s="88">
        <f>VLOOKUP($D10,个税系统表!$D:$AN,MATCH(海淀分公司工资表!R$1,个税系统表!$D$1:$AM$1,0),FALSE)</f>
        <v>6068.97</v>
      </c>
      <c r="S10" s="88">
        <f>VLOOKUP($D10,个税系统表!$D:$AN,MATCH(海淀分公司工资表!S$1,个税系统表!$D$1:$AM$1,0),FALSE)</f>
        <v>5000</v>
      </c>
      <c r="T10" s="88">
        <f>VLOOKUP($D10,个税系统表!$D:$AN,MATCH(海淀分公司工资表!T$1,个税系统表!$D$1:$AM$1,0),FALSE)</f>
        <v>1208.8</v>
      </c>
      <c r="U10" s="88">
        <f>VLOOKUP($D10,个税系统表!$D:$AN,MATCH(海淀分公司工资表!U$2,个税系统表!$D$1:$AM$1,0),FALSE)</f>
        <v>0</v>
      </c>
      <c r="V10" s="88">
        <f>VLOOKUP($D10,个税系统表!$D:$AN,MATCH(海淀分公司工资表!V$2,个税系统表!$D$1:$AM$1,0),FALSE)</f>
        <v>0</v>
      </c>
      <c r="W10" s="88">
        <f>VLOOKUP($D10,个税系统表!$D:$AN,MATCH(海淀分公司工资表!W$2,个税系统表!$D$1:$AM$1,0),FALSE)</f>
        <v>0</v>
      </c>
      <c r="X10" s="88">
        <f>VLOOKUP($D10,个税系统表!$D:$AN,MATCH(海淀分公司工资表!X$2,个税系统表!$D$1:$AM$1,0),FALSE)</f>
        <v>0</v>
      </c>
      <c r="Y10" s="88">
        <f>VLOOKUP($D10,个税系统表!$D:$AN,MATCH(海淀分公司工资表!Y$2,个税系统表!$D$1:$AM$1,0),FALSE)</f>
        <v>0</v>
      </c>
      <c r="Z10" s="87"/>
      <c r="AA10" s="88">
        <f t="shared" si="1"/>
        <v>0</v>
      </c>
      <c r="AB10" s="88">
        <f>VLOOKUP($D10,个税系统表!$D:$AN,MATCH(海淀分公司工资表!AB$1,个税系统表!$D$1:$AM$1,0),FALSE)</f>
        <v>0</v>
      </c>
      <c r="AC10" s="88">
        <f>VLOOKUP($D10,个税系统表!$D:$AN,MATCH(海淀分公司工资表!AC$1,个税系统表!$D$1:$AM$1,0),FALSE)</f>
        <v>0</v>
      </c>
      <c r="AD10" s="88">
        <f>VLOOKUP($D10,个税系统表!$D:$AN,MATCH(海淀分公司工资表!AD$1,个税系统表!$D$1:$AM$1,0),FALSE)</f>
        <v>0</v>
      </c>
      <c r="AE10" s="88">
        <f>VLOOKUP($D10,个税系统表!$D:$AN,MATCH(海淀分公司工资表!AE$1,个税系统表!$D$1:$AM$1,0),FALSE)</f>
        <v>0</v>
      </c>
      <c r="AF10" s="88">
        <f>VLOOKUP($D10,个税系统表!$D:$AN,MATCH(海淀分公司工资表!AF$1,个税系统表!$D$1:$AM$1,0),FALSE)</f>
        <v>0</v>
      </c>
      <c r="AG10" s="123">
        <f t="shared" si="2"/>
        <v>4860.17</v>
      </c>
      <c r="AH10" s="89"/>
      <c r="AI10" s="144">
        <f t="shared" si="3"/>
        <v>4860.17</v>
      </c>
      <c r="AJ10" s="114">
        <f>VLOOKUP($H10,缴费比例!$B:$O,MATCH(AJ$1,缴费比例!$B$1:$O$1,0),FALSE)</f>
        <v>170</v>
      </c>
      <c r="AK10" s="114"/>
      <c r="AL10" s="114"/>
      <c r="AM10" s="114"/>
      <c r="AN10" s="114"/>
      <c r="AO10" s="114"/>
      <c r="AP10" s="114">
        <f t="shared" si="4"/>
        <v>0</v>
      </c>
      <c r="AQ10" s="114">
        <v>2</v>
      </c>
      <c r="AR10" s="114">
        <f t="shared" si="5"/>
        <v>6240.97</v>
      </c>
      <c r="AS10" s="115">
        <v>6.7199999999999996E-2</v>
      </c>
      <c r="AT10" s="127" t="s">
        <v>188</v>
      </c>
      <c r="AU10" s="130" t="s">
        <v>175</v>
      </c>
      <c r="AV10" s="130" t="s">
        <v>177</v>
      </c>
      <c r="AW10" s="90" t="str">
        <f t="shared" si="6"/>
        <v>正确</v>
      </c>
      <c r="AX10" s="90" t="str">
        <f t="shared" si="7"/>
        <v>不</v>
      </c>
      <c r="AY10" s="90" t="str">
        <f t="shared" si="8"/>
        <v>不</v>
      </c>
    </row>
    <row r="11" spans="1:51">
      <c r="A11" s="84">
        <v>9</v>
      </c>
      <c r="B11" s="85" t="s">
        <v>67</v>
      </c>
      <c r="C11" s="91" t="s">
        <v>45</v>
      </c>
      <c r="D11" s="110" t="s">
        <v>46</v>
      </c>
      <c r="E11" s="86" t="str">
        <f t="shared" si="9"/>
        <v>女</v>
      </c>
      <c r="F11" s="118">
        <f t="shared" si="10"/>
        <v>34277</v>
      </c>
      <c r="G11" s="103">
        <v>18234114102</v>
      </c>
      <c r="H11" s="102" t="s">
        <v>69</v>
      </c>
      <c r="I11" s="108">
        <v>44576</v>
      </c>
      <c r="J11" s="80"/>
      <c r="K11" s="117">
        <v>6068.97</v>
      </c>
      <c r="L11" s="114">
        <f>VLOOKUP($D11,社保!$C:$Z,MATCH(L$1,社保!$C$1:$Z$1,0),FALSE)</f>
        <v>880</v>
      </c>
      <c r="M11" s="114">
        <f>VLOOKUP($D11,社保!$C:$Z,MATCH(M$1,社保!$C$1:$Z$1,0),FALSE)+VLOOKUP($D11,社保!$C:$Z,MATCH("个人大病",社保!$C$1:$Z$1,0),FALSE)</f>
        <v>223</v>
      </c>
      <c r="N11" s="114">
        <f>VLOOKUP($D11,社保!$C:$Z,MATCH(N$1,社保!$C$1:$Z$1,0),FALSE)</f>
        <v>55</v>
      </c>
      <c r="O11" s="114">
        <f>VLOOKUP($D11,社保!$C:$Z,MATCH(O$1,社保!$C$1:$Z$1,0),FALSE)</f>
        <v>1320</v>
      </c>
      <c r="P11" s="114">
        <f t="shared" si="0"/>
        <v>2478</v>
      </c>
      <c r="Q11" s="87"/>
      <c r="R11" s="88">
        <f>VLOOKUP($D11,个税系统表!$D:$AN,MATCH(海淀分公司工资表!R$1,个税系统表!$D$1:$AM$1,0),FALSE)</f>
        <v>6068.97</v>
      </c>
      <c r="S11" s="88">
        <f>VLOOKUP($D11,个税系统表!$D:$AN,MATCH(海淀分公司工资表!S$1,个税系统表!$D$1:$AM$1,0),FALSE)</f>
        <v>5000</v>
      </c>
      <c r="T11" s="88">
        <f>VLOOKUP($D11,个税系统表!$D:$AN,MATCH(海淀分公司工资表!T$1,个税系统表!$D$1:$AM$1,0),FALSE)</f>
        <v>2478</v>
      </c>
      <c r="U11" s="88">
        <f>VLOOKUP($D11,个税系统表!$D:$AN,MATCH(海淀分公司工资表!U$2,个税系统表!$D$1:$AM$1,0),FALSE)</f>
        <v>0</v>
      </c>
      <c r="V11" s="88">
        <f>VLOOKUP($D11,个税系统表!$D:$AN,MATCH(海淀分公司工资表!V$2,个税系统表!$D$1:$AM$1,0),FALSE)</f>
        <v>0</v>
      </c>
      <c r="W11" s="88">
        <f>VLOOKUP($D11,个税系统表!$D:$AN,MATCH(海淀分公司工资表!W$2,个税系统表!$D$1:$AM$1,0),FALSE)</f>
        <v>0</v>
      </c>
      <c r="X11" s="88">
        <f>VLOOKUP($D11,个税系统表!$D:$AN,MATCH(海淀分公司工资表!X$2,个税系统表!$D$1:$AM$1,0),FALSE)</f>
        <v>1500</v>
      </c>
      <c r="Y11" s="88">
        <f>VLOOKUP($D11,个税系统表!$D:$AN,MATCH(海淀分公司工资表!Y$2,个税系统表!$D$1:$AM$1,0),FALSE)</f>
        <v>0</v>
      </c>
      <c r="Z11" s="87"/>
      <c r="AA11" s="88">
        <f t="shared" si="1"/>
        <v>1500</v>
      </c>
      <c r="AB11" s="88">
        <f>VLOOKUP($D11,个税系统表!$D:$AN,MATCH(海淀分公司工资表!AB$1,个税系统表!$D$1:$AM$1,0),FALSE)</f>
        <v>0</v>
      </c>
      <c r="AC11" s="88">
        <f>VLOOKUP($D11,个税系统表!$D:$AN,MATCH(海淀分公司工资表!AC$1,个税系统表!$D$1:$AM$1,0),FALSE)</f>
        <v>0</v>
      </c>
      <c r="AD11" s="88">
        <f>VLOOKUP($D11,个税系统表!$D:$AN,MATCH(海淀分公司工资表!AD$1,个税系统表!$D$1:$AM$1,0),FALSE)</f>
        <v>0</v>
      </c>
      <c r="AE11" s="88">
        <f>VLOOKUP($D11,个税系统表!$D:$AN,MATCH(海淀分公司工资表!AE$1,个税系统表!$D$1:$AM$1,0),FALSE)</f>
        <v>0</v>
      </c>
      <c r="AF11" s="88">
        <f>VLOOKUP($D11,个税系统表!$D:$AN,MATCH(海淀分公司工资表!AF$1,个税系统表!$D$1:$AM$1,0),FALSE)</f>
        <v>0</v>
      </c>
      <c r="AG11" s="123">
        <f t="shared" si="2"/>
        <v>3590.9700000000003</v>
      </c>
      <c r="AH11" s="89"/>
      <c r="AI11" s="144">
        <f t="shared" si="3"/>
        <v>3590.9700000000003</v>
      </c>
      <c r="AJ11" s="114">
        <f>VLOOKUP($H11,缴费比例!$B:$O,MATCH(AJ$1,缴费比例!$B$1:$O$1,0),FALSE)</f>
        <v>170</v>
      </c>
      <c r="AK11" s="114"/>
      <c r="AL11" s="114"/>
      <c r="AM11" s="114"/>
      <c r="AN11" s="114"/>
      <c r="AO11" s="114"/>
      <c r="AP11" s="114">
        <f t="shared" si="4"/>
        <v>0</v>
      </c>
      <c r="AQ11" s="114"/>
      <c r="AR11" s="114">
        <f t="shared" si="5"/>
        <v>6238.97</v>
      </c>
      <c r="AS11" s="115">
        <v>6.7199999999999996E-2</v>
      </c>
      <c r="AT11" s="127" t="s">
        <v>189</v>
      </c>
      <c r="AU11" s="130" t="s">
        <v>179</v>
      </c>
      <c r="AV11" s="130" t="s">
        <v>178</v>
      </c>
      <c r="AW11" s="90" t="str">
        <f t="shared" si="6"/>
        <v>正确</v>
      </c>
      <c r="AX11" s="90" t="str">
        <f t="shared" si="7"/>
        <v>不</v>
      </c>
      <c r="AY11" s="90" t="str">
        <f t="shared" si="8"/>
        <v>不</v>
      </c>
    </row>
    <row r="12" spans="1:51">
      <c r="A12" s="84">
        <v>10</v>
      </c>
      <c r="B12" s="85" t="s">
        <v>67</v>
      </c>
      <c r="C12" s="80" t="s">
        <v>47</v>
      </c>
      <c r="D12" s="111" t="s">
        <v>48</v>
      </c>
      <c r="E12" s="86" t="str">
        <f t="shared" si="9"/>
        <v>男</v>
      </c>
      <c r="F12" s="118">
        <f t="shared" si="10"/>
        <v>36623</v>
      </c>
      <c r="G12" s="104">
        <v>13997516515</v>
      </c>
      <c r="H12" s="104" t="s">
        <v>73</v>
      </c>
      <c r="I12" s="108">
        <v>44562</v>
      </c>
      <c r="J12" s="80"/>
      <c r="K12" s="117">
        <v>4500</v>
      </c>
      <c r="L12" s="114">
        <f>VLOOKUP($D12,社保!$C:$Z,MATCH(L$1,社保!$C$1:$Z$1,0),FALSE)</f>
        <v>144</v>
      </c>
      <c r="M12" s="114">
        <f>VLOOKUP($D12,社保!$C:$Z,MATCH(M$1,社保!$C$1:$Z$1,0),FALSE)+VLOOKUP($D12,社保!$C:$Z,MATCH("个人大病",社保!$C$1:$Z$1,0),FALSE)</f>
        <v>73.52</v>
      </c>
      <c r="N12" s="114">
        <f>VLOOKUP($D12,社保!$C:$Z,MATCH(N$1,社保!$C$1:$Z$1,0),FALSE)</f>
        <v>9</v>
      </c>
      <c r="O12" s="114">
        <f>VLOOKUP($D12,社保!$C:$Z,MATCH(O$1,社保!$C$1:$Z$1,0),FALSE)</f>
        <v>138</v>
      </c>
      <c r="P12" s="114">
        <f t="shared" si="0"/>
        <v>364.52</v>
      </c>
      <c r="Q12" s="87"/>
      <c r="R12" s="88">
        <f>VLOOKUP($D12,个税系统表!$D:$AN,MATCH(海淀分公司工资表!R$1,个税系统表!$D$1:$AM$1,0),FALSE)</f>
        <v>4500</v>
      </c>
      <c r="S12" s="88">
        <f>VLOOKUP($D12,个税系统表!$D:$AN,MATCH(海淀分公司工资表!S$1,个税系统表!$D$1:$AM$1,0),FALSE)</f>
        <v>5000</v>
      </c>
      <c r="T12" s="88">
        <f>VLOOKUP($D12,个税系统表!$D:$AN,MATCH(海淀分公司工资表!T$1,个税系统表!$D$1:$AM$1,0),FALSE)</f>
        <v>364.52</v>
      </c>
      <c r="U12" s="88">
        <f>VLOOKUP($D12,个税系统表!$D:$AN,MATCH(海淀分公司工资表!U$2,个税系统表!$D$1:$AM$1,0),FALSE)</f>
        <v>0</v>
      </c>
      <c r="V12" s="88">
        <f>VLOOKUP($D12,个税系统表!$D:$AN,MATCH(海淀分公司工资表!V$2,个税系统表!$D$1:$AM$1,0),FALSE)</f>
        <v>0</v>
      </c>
      <c r="W12" s="88">
        <f>VLOOKUP($D12,个税系统表!$D:$AN,MATCH(海淀分公司工资表!W$2,个税系统表!$D$1:$AM$1,0),FALSE)</f>
        <v>0</v>
      </c>
      <c r="X12" s="88">
        <f>VLOOKUP($D12,个税系统表!$D:$AN,MATCH(海淀分公司工资表!X$2,个税系统表!$D$1:$AM$1,0),FALSE)</f>
        <v>0</v>
      </c>
      <c r="Y12" s="88">
        <f>VLOOKUP($D12,个税系统表!$D:$AN,MATCH(海淀分公司工资表!Y$2,个税系统表!$D$1:$AM$1,0),FALSE)</f>
        <v>0</v>
      </c>
      <c r="Z12" s="87"/>
      <c r="AA12" s="88">
        <f t="shared" si="1"/>
        <v>0</v>
      </c>
      <c r="AB12" s="88">
        <f>VLOOKUP($D12,个税系统表!$D:$AN,MATCH(海淀分公司工资表!AB$1,个税系统表!$D$1:$AM$1,0),FALSE)</f>
        <v>0</v>
      </c>
      <c r="AC12" s="88">
        <f>VLOOKUP($D12,个税系统表!$D:$AN,MATCH(海淀分公司工资表!AC$1,个税系统表!$D$1:$AM$1,0),FALSE)</f>
        <v>0</v>
      </c>
      <c r="AD12" s="88">
        <f>VLOOKUP($D12,个税系统表!$D:$AN,MATCH(海淀分公司工资表!AD$1,个税系统表!$D$1:$AM$1,0),FALSE)</f>
        <v>0</v>
      </c>
      <c r="AE12" s="88">
        <f>VLOOKUP($D12,个税系统表!$D:$AN,MATCH(海淀分公司工资表!AE$1,个税系统表!$D$1:$AM$1,0),FALSE)</f>
        <v>0</v>
      </c>
      <c r="AF12" s="88">
        <f>VLOOKUP($D12,个税系统表!$D:$AN,MATCH(海淀分公司工资表!AF$1,个税系统表!$D$1:$AM$1,0),FALSE)</f>
        <v>0</v>
      </c>
      <c r="AG12" s="123">
        <f t="shared" si="2"/>
        <v>4135.4799999999996</v>
      </c>
      <c r="AH12" s="89"/>
      <c r="AI12" s="144">
        <f t="shared" si="3"/>
        <v>4135.4799999999996</v>
      </c>
      <c r="AJ12" s="114">
        <f>VLOOKUP($H12,缴费比例!$B:$O,MATCH(AJ$1,缴费比例!$B$1:$O$1,0),FALSE)</f>
        <v>180</v>
      </c>
      <c r="AK12" s="114"/>
      <c r="AL12" s="114"/>
      <c r="AM12" s="114"/>
      <c r="AN12" s="114"/>
      <c r="AO12" s="114"/>
      <c r="AP12" s="114">
        <f t="shared" si="4"/>
        <v>0</v>
      </c>
      <c r="AQ12" s="114">
        <v>2</v>
      </c>
      <c r="AR12" s="114">
        <f t="shared" si="5"/>
        <v>4682</v>
      </c>
      <c r="AS12" s="115">
        <v>6.7199999999999996E-2</v>
      </c>
      <c r="AT12" s="127" t="s">
        <v>190</v>
      </c>
      <c r="AU12" s="130" t="s">
        <v>170</v>
      </c>
      <c r="AV12" s="130" t="s">
        <v>169</v>
      </c>
      <c r="AW12" s="90" t="str">
        <f t="shared" si="6"/>
        <v>正确</v>
      </c>
      <c r="AX12" s="90" t="str">
        <f t="shared" si="7"/>
        <v>不</v>
      </c>
      <c r="AY12" s="90" t="str">
        <f t="shared" si="8"/>
        <v>不</v>
      </c>
    </row>
    <row r="13" spans="1:51">
      <c r="A13" s="84">
        <v>11</v>
      </c>
      <c r="B13" s="85" t="s">
        <v>67</v>
      </c>
      <c r="C13" s="80" t="s">
        <v>49</v>
      </c>
      <c r="D13" s="111" t="s">
        <v>50</v>
      </c>
      <c r="E13" s="86" t="str">
        <f t="shared" si="9"/>
        <v>男</v>
      </c>
      <c r="F13" s="118">
        <f t="shared" si="10"/>
        <v>31575</v>
      </c>
      <c r="G13" s="92">
        <v>17764403230</v>
      </c>
      <c r="H13" s="92" t="s">
        <v>71</v>
      </c>
      <c r="I13" s="108">
        <v>44562</v>
      </c>
      <c r="J13" s="93"/>
      <c r="K13" s="117">
        <v>13000</v>
      </c>
      <c r="L13" s="114">
        <f>VLOOKUP($D13,社保!$C:$Z,MATCH(L$1,社保!$C$1:$Z$1,0),FALSE)</f>
        <v>274.39999999999998</v>
      </c>
      <c r="M13" s="114">
        <f>VLOOKUP($D13,社保!$C:$Z,MATCH(M$1,社保!$C$1:$Z$1,0),FALSE)+VLOOKUP($D13,社保!$C:$Z,MATCH("个人大病",社保!$C$1:$Z$1,0),FALSE)</f>
        <v>68.599999999999994</v>
      </c>
      <c r="N13" s="114">
        <f>VLOOKUP($D13,社保!$C:$Z,MATCH(N$1,社保!$C$1:$Z$1,0),FALSE)</f>
        <v>17.149999999999999</v>
      </c>
      <c r="O13" s="114">
        <f>VLOOKUP($D13,社保!$C:$Z,MATCH(O$1,社保!$C$1:$Z$1,0),FALSE)</f>
        <v>83</v>
      </c>
      <c r="P13" s="114">
        <f t="shared" si="0"/>
        <v>443.15</v>
      </c>
      <c r="Q13" s="87"/>
      <c r="R13" s="88">
        <f>VLOOKUP($D13,个税系统表!$D:$AN,MATCH(海淀分公司工资表!R$1,个税系统表!$D$1:$AM$1,0),FALSE)</f>
        <v>13000</v>
      </c>
      <c r="S13" s="88">
        <f>VLOOKUP($D13,个税系统表!$D:$AN,MATCH(海淀分公司工资表!S$1,个税系统表!$D$1:$AM$1,0),FALSE)</f>
        <v>5000</v>
      </c>
      <c r="T13" s="88">
        <f>VLOOKUP($D13,个税系统表!$D:$AN,MATCH(海淀分公司工资表!T$1,个税系统表!$D$1:$AM$1,0),FALSE)</f>
        <v>443.15</v>
      </c>
      <c r="U13" s="88">
        <f>VLOOKUP($D13,个税系统表!$D:$AN,MATCH(海淀分公司工资表!U$2,个税系统表!$D$1:$AM$1,0),FALSE)</f>
        <v>0</v>
      </c>
      <c r="V13" s="88">
        <f>VLOOKUP($D13,个税系统表!$D:$AN,MATCH(海淀分公司工资表!V$2,个税系统表!$D$1:$AM$1,0),FALSE)</f>
        <v>0</v>
      </c>
      <c r="W13" s="88">
        <f>VLOOKUP($D13,个税系统表!$D:$AN,MATCH(海淀分公司工资表!W$2,个税系统表!$D$1:$AM$1,0),FALSE)</f>
        <v>0</v>
      </c>
      <c r="X13" s="88">
        <f>VLOOKUP($D13,个税系统表!$D:$AN,MATCH(海淀分公司工资表!X$2,个税系统表!$D$1:$AM$1,0),FALSE)</f>
        <v>0</v>
      </c>
      <c r="Y13" s="88">
        <f>VLOOKUP($D13,个税系统表!$D:$AN,MATCH(海淀分公司工资表!Y$2,个税系统表!$D$1:$AM$1,0),FALSE)</f>
        <v>0</v>
      </c>
      <c r="Z13" s="87"/>
      <c r="AA13" s="88">
        <f t="shared" si="1"/>
        <v>0</v>
      </c>
      <c r="AB13" s="88">
        <f>VLOOKUP($D13,个税系统表!$D:$AN,MATCH(海淀分公司工资表!AB$1,个税系统表!$D$1:$AM$1,0),FALSE)</f>
        <v>0</v>
      </c>
      <c r="AC13" s="88">
        <f>VLOOKUP($D13,个税系统表!$D:$AN,MATCH(海淀分公司工资表!AC$1,个税系统表!$D$1:$AM$1,0),FALSE)</f>
        <v>7556.85</v>
      </c>
      <c r="AD13" s="88">
        <f>VLOOKUP($D13,个税系统表!$D:$AN,MATCH(海淀分公司工资表!AD$1,个税系统表!$D$1:$AM$1,0),FALSE)</f>
        <v>226.71</v>
      </c>
      <c r="AE13" s="88">
        <f>VLOOKUP($D13,个税系统表!$D:$AN,MATCH(海淀分公司工资表!AE$1,个税系统表!$D$1:$AM$1,0),FALSE)</f>
        <v>0</v>
      </c>
      <c r="AF13" s="88">
        <f>VLOOKUP($D13,个税系统表!$D:$AN,MATCH(海淀分公司工资表!AF$1,个税系统表!$D$1:$AM$1,0),FALSE)</f>
        <v>226.71</v>
      </c>
      <c r="AG13" s="123">
        <f t="shared" si="2"/>
        <v>12330.140000000001</v>
      </c>
      <c r="AH13" s="89"/>
      <c r="AI13" s="144">
        <f t="shared" si="3"/>
        <v>12330.140000000001</v>
      </c>
      <c r="AJ13" s="114">
        <f>VLOOKUP($H13,缴费比例!$B:$O,MATCH(AJ$1,缴费比例!$B$1:$O$1,0),FALSE)</f>
        <v>180</v>
      </c>
      <c r="AK13" s="114"/>
      <c r="AL13" s="114"/>
      <c r="AM13" s="114"/>
      <c r="AN13" s="114"/>
      <c r="AO13" s="114"/>
      <c r="AP13" s="114">
        <f t="shared" si="4"/>
        <v>0</v>
      </c>
      <c r="AQ13" s="114">
        <v>2</v>
      </c>
      <c r="AR13" s="114">
        <f t="shared" si="5"/>
        <v>13182</v>
      </c>
      <c r="AS13" s="115">
        <v>6.7199999999999996E-2</v>
      </c>
      <c r="AT13" s="127" t="s">
        <v>191</v>
      </c>
      <c r="AU13" s="130" t="s">
        <v>170</v>
      </c>
      <c r="AV13" s="130" t="s">
        <v>169</v>
      </c>
      <c r="AW13" s="90" t="str">
        <f t="shared" si="6"/>
        <v>正确</v>
      </c>
      <c r="AX13" s="90" t="str">
        <f t="shared" si="7"/>
        <v>不</v>
      </c>
      <c r="AY13" s="90" t="str">
        <f t="shared" si="8"/>
        <v>不</v>
      </c>
    </row>
    <row r="14" spans="1:51">
      <c r="A14" s="84">
        <v>12</v>
      </c>
      <c r="B14" s="85" t="s">
        <v>67</v>
      </c>
      <c r="C14" s="80" t="s">
        <v>51</v>
      </c>
      <c r="D14" s="111" t="s">
        <v>52</v>
      </c>
      <c r="E14" s="86" t="str">
        <f t="shared" si="9"/>
        <v>男</v>
      </c>
      <c r="F14" s="118">
        <f t="shared" si="10"/>
        <v>33248</v>
      </c>
      <c r="G14" s="92">
        <v>15656127587</v>
      </c>
      <c r="H14" s="92" t="s">
        <v>71</v>
      </c>
      <c r="I14" s="108">
        <v>44562</v>
      </c>
      <c r="J14" s="93"/>
      <c r="K14" s="117">
        <v>14000</v>
      </c>
      <c r="L14" s="114">
        <f>VLOOKUP($D14,社保!$C:$Z,MATCH(L$1,社保!$C$1:$Z$1,0),FALSE)</f>
        <v>274.39999999999998</v>
      </c>
      <c r="M14" s="114">
        <f>VLOOKUP($D14,社保!$C:$Z,MATCH(M$1,社保!$C$1:$Z$1,0),FALSE)+VLOOKUP($D14,社保!$C:$Z,MATCH("个人大病",社保!$C$1:$Z$1,0),FALSE)</f>
        <v>68.599999999999994</v>
      </c>
      <c r="N14" s="114">
        <f>VLOOKUP($D14,社保!$C:$Z,MATCH(N$1,社保!$C$1:$Z$1,0),FALSE)</f>
        <v>17.149999999999999</v>
      </c>
      <c r="O14" s="114">
        <f>VLOOKUP($D14,社保!$C:$Z,MATCH(O$1,社保!$C$1:$Z$1,0),FALSE)</f>
        <v>83</v>
      </c>
      <c r="P14" s="114">
        <f t="shared" si="0"/>
        <v>443.15</v>
      </c>
      <c r="Q14" s="87"/>
      <c r="R14" s="88">
        <f>VLOOKUP($D14,个税系统表!$D:$AN,MATCH(海淀分公司工资表!R$1,个税系统表!$D$1:$AM$1,0),FALSE)</f>
        <v>14000</v>
      </c>
      <c r="S14" s="88">
        <f>VLOOKUP($D14,个税系统表!$D:$AN,MATCH(海淀分公司工资表!S$1,个税系统表!$D$1:$AM$1,0),FALSE)</f>
        <v>5000</v>
      </c>
      <c r="T14" s="88">
        <f>VLOOKUP($D14,个税系统表!$D:$AN,MATCH(海淀分公司工资表!T$1,个税系统表!$D$1:$AM$1,0),FALSE)</f>
        <v>443.15</v>
      </c>
      <c r="U14" s="88">
        <f>VLOOKUP($D14,个税系统表!$D:$AN,MATCH(海淀分公司工资表!U$2,个税系统表!$D$1:$AM$1,0),FALSE)</f>
        <v>0</v>
      </c>
      <c r="V14" s="88">
        <f>VLOOKUP($D14,个税系统表!$D:$AN,MATCH(海淀分公司工资表!V$2,个税系统表!$D$1:$AM$1,0),FALSE)</f>
        <v>0</v>
      </c>
      <c r="W14" s="88">
        <f>VLOOKUP($D14,个税系统表!$D:$AN,MATCH(海淀分公司工资表!W$2,个税系统表!$D$1:$AM$1,0),FALSE)</f>
        <v>0</v>
      </c>
      <c r="X14" s="88">
        <f>VLOOKUP($D14,个税系统表!$D:$AN,MATCH(海淀分公司工资表!X$2,个税系统表!$D$1:$AM$1,0),FALSE)</f>
        <v>0</v>
      </c>
      <c r="Y14" s="88">
        <f>VLOOKUP($D14,个税系统表!$D:$AN,MATCH(海淀分公司工资表!Y$2,个税系统表!$D$1:$AM$1,0),FALSE)</f>
        <v>0</v>
      </c>
      <c r="Z14" s="87"/>
      <c r="AA14" s="88">
        <f t="shared" si="1"/>
        <v>0</v>
      </c>
      <c r="AB14" s="88">
        <f>VLOOKUP($D14,个税系统表!$D:$AN,MATCH(海淀分公司工资表!AB$1,个税系统表!$D$1:$AM$1,0),FALSE)</f>
        <v>0</v>
      </c>
      <c r="AC14" s="88">
        <f>VLOOKUP($D14,个税系统表!$D:$AN,MATCH(海淀分公司工资表!AC$1,个税系统表!$D$1:$AM$1,0),FALSE)</f>
        <v>8556.85</v>
      </c>
      <c r="AD14" s="88">
        <f>VLOOKUP($D14,个税系统表!$D:$AN,MATCH(海淀分公司工资表!AD$1,个税系统表!$D$1:$AM$1,0),FALSE)</f>
        <v>256.70999999999998</v>
      </c>
      <c r="AE14" s="88">
        <f>VLOOKUP($D14,个税系统表!$D:$AN,MATCH(海淀分公司工资表!AE$1,个税系统表!$D$1:$AM$1,0),FALSE)</f>
        <v>0</v>
      </c>
      <c r="AF14" s="88">
        <f>VLOOKUP($D14,个税系统表!$D:$AN,MATCH(海淀分公司工资表!AF$1,个税系统表!$D$1:$AM$1,0),FALSE)</f>
        <v>256.70999999999998</v>
      </c>
      <c r="AG14" s="123">
        <f t="shared" si="2"/>
        <v>13300.140000000001</v>
      </c>
      <c r="AH14" s="89"/>
      <c r="AI14" s="144">
        <f t="shared" si="3"/>
        <v>13300.140000000001</v>
      </c>
      <c r="AJ14" s="114">
        <f>VLOOKUP($H14,缴费比例!$B:$O,MATCH(AJ$1,缴费比例!$B$1:$O$1,0),FALSE)</f>
        <v>180</v>
      </c>
      <c r="AK14" s="114"/>
      <c r="AL14" s="114"/>
      <c r="AM14" s="114"/>
      <c r="AN14" s="114"/>
      <c r="AO14" s="114"/>
      <c r="AP14" s="114">
        <f t="shared" si="4"/>
        <v>0</v>
      </c>
      <c r="AQ14" s="114">
        <v>2</v>
      </c>
      <c r="AR14" s="114">
        <f t="shared" si="5"/>
        <v>14182</v>
      </c>
      <c r="AS14" s="115">
        <v>6.7199999999999996E-2</v>
      </c>
      <c r="AT14" s="127" t="s">
        <v>192</v>
      </c>
      <c r="AU14" s="130" t="s">
        <v>170</v>
      </c>
      <c r="AV14" s="130" t="s">
        <v>169</v>
      </c>
      <c r="AW14" s="90" t="str">
        <f t="shared" si="6"/>
        <v>正确</v>
      </c>
      <c r="AX14" s="90" t="str">
        <f t="shared" si="7"/>
        <v>不</v>
      </c>
      <c r="AY14" s="90" t="str">
        <f t="shared" si="8"/>
        <v>不</v>
      </c>
    </row>
    <row r="15" spans="1:51">
      <c r="A15" s="84">
        <v>13</v>
      </c>
      <c r="B15" s="85" t="s">
        <v>67</v>
      </c>
      <c r="C15" s="80" t="s">
        <v>53</v>
      </c>
      <c r="D15" s="111" t="s">
        <v>54</v>
      </c>
      <c r="E15" s="86" t="str">
        <f t="shared" si="9"/>
        <v>男</v>
      </c>
      <c r="F15" s="118">
        <f t="shared" si="10"/>
        <v>31801</v>
      </c>
      <c r="G15" s="92">
        <v>15375381802</v>
      </c>
      <c r="H15" s="92" t="s">
        <v>71</v>
      </c>
      <c r="I15" s="108">
        <v>44562</v>
      </c>
      <c r="J15" s="93"/>
      <c r="K15" s="117">
        <v>25034.48</v>
      </c>
      <c r="L15" s="114">
        <f>VLOOKUP($D15,社保!$C:$Z,MATCH(L$1,社保!$C$1:$Z$1,0),FALSE)</f>
        <v>274.39999999999998</v>
      </c>
      <c r="M15" s="114">
        <f>VLOOKUP($D15,社保!$C:$Z,MATCH(M$1,社保!$C$1:$Z$1,0),FALSE)+VLOOKUP($D15,社保!$C:$Z,MATCH("个人大病",社保!$C$1:$Z$1,0),FALSE)</f>
        <v>68.599999999999994</v>
      </c>
      <c r="N15" s="114">
        <f>VLOOKUP($D15,社保!$C:$Z,MATCH(N$1,社保!$C$1:$Z$1,0),FALSE)</f>
        <v>17.149999999999999</v>
      </c>
      <c r="O15" s="114">
        <f>VLOOKUP($D15,社保!$C:$Z,MATCH(O$1,社保!$C$1:$Z$1,0),FALSE)</f>
        <v>83</v>
      </c>
      <c r="P15" s="114">
        <f t="shared" si="0"/>
        <v>443.15</v>
      </c>
      <c r="Q15" s="87"/>
      <c r="R15" s="88">
        <f>VLOOKUP($D15,个税系统表!$D:$AN,MATCH(海淀分公司工资表!R$1,个税系统表!$D$1:$AM$1,0),FALSE)</f>
        <v>25034.48</v>
      </c>
      <c r="S15" s="88">
        <f>VLOOKUP($D15,个税系统表!$D:$AN,MATCH(海淀分公司工资表!S$1,个税系统表!$D$1:$AM$1,0),FALSE)</f>
        <v>5000</v>
      </c>
      <c r="T15" s="88">
        <f>VLOOKUP($D15,个税系统表!$D:$AN,MATCH(海淀分公司工资表!T$1,个税系统表!$D$1:$AM$1,0),FALSE)</f>
        <v>443.15</v>
      </c>
      <c r="U15" s="88">
        <f>VLOOKUP($D15,个税系统表!$D:$AN,MATCH(海淀分公司工资表!U$2,个税系统表!$D$1:$AM$1,0),FALSE)</f>
        <v>0</v>
      </c>
      <c r="V15" s="88">
        <f>VLOOKUP($D15,个税系统表!$D:$AN,MATCH(海淀分公司工资表!V$2,个税系统表!$D$1:$AM$1,0),FALSE)</f>
        <v>0</v>
      </c>
      <c r="W15" s="88">
        <f>VLOOKUP($D15,个税系统表!$D:$AN,MATCH(海淀分公司工资表!W$2,个税系统表!$D$1:$AM$1,0),FALSE)</f>
        <v>0</v>
      </c>
      <c r="X15" s="88">
        <f>VLOOKUP($D15,个税系统表!$D:$AN,MATCH(海淀分公司工资表!X$2,个税系统表!$D$1:$AM$1,0),FALSE)</f>
        <v>0</v>
      </c>
      <c r="Y15" s="88">
        <f>VLOOKUP($D15,个税系统表!$D:$AN,MATCH(海淀分公司工资表!Y$2,个税系统表!$D$1:$AM$1,0),FALSE)</f>
        <v>0</v>
      </c>
      <c r="Z15" s="87"/>
      <c r="AA15" s="88">
        <f t="shared" si="1"/>
        <v>0</v>
      </c>
      <c r="AB15" s="88">
        <f>VLOOKUP($D15,个税系统表!$D:$AN,MATCH(海淀分公司工资表!AB$1,个税系统表!$D$1:$AM$1,0),FALSE)</f>
        <v>0</v>
      </c>
      <c r="AC15" s="88">
        <f>VLOOKUP($D15,个税系统表!$D:$AN,MATCH(海淀分公司工资表!AC$1,个税系统表!$D$1:$AM$1,0),FALSE)</f>
        <v>19591.330000000002</v>
      </c>
      <c r="AD15" s="88">
        <f>VLOOKUP($D15,个税系统表!$D:$AN,MATCH(海淀分公司工资表!AD$1,个税系统表!$D$1:$AM$1,0),FALSE)</f>
        <v>587.74</v>
      </c>
      <c r="AE15" s="88">
        <f>VLOOKUP($D15,个税系统表!$D:$AN,MATCH(海淀分公司工资表!AE$1,个税系统表!$D$1:$AM$1,0),FALSE)</f>
        <v>0</v>
      </c>
      <c r="AF15" s="88">
        <f>VLOOKUP($D15,个税系统表!$D:$AN,MATCH(海淀分公司工资表!AF$1,个税系统表!$D$1:$AM$1,0),FALSE)</f>
        <v>587.74</v>
      </c>
      <c r="AG15" s="123">
        <f t="shared" si="2"/>
        <v>24003.589999999997</v>
      </c>
      <c r="AH15" s="89"/>
      <c r="AI15" s="144">
        <f t="shared" si="3"/>
        <v>24003.589999999997</v>
      </c>
      <c r="AJ15" s="114">
        <f>VLOOKUP($H15,缴费比例!$B:$O,MATCH(AJ$1,缴费比例!$B$1:$O$1,0),FALSE)</f>
        <v>180</v>
      </c>
      <c r="AK15" s="114"/>
      <c r="AL15" s="114"/>
      <c r="AM15" s="114"/>
      <c r="AN15" s="114"/>
      <c r="AO15" s="114"/>
      <c r="AP15" s="114">
        <f t="shared" si="4"/>
        <v>0</v>
      </c>
      <c r="AQ15" s="114">
        <v>2</v>
      </c>
      <c r="AR15" s="114">
        <f t="shared" si="5"/>
        <v>25216.48</v>
      </c>
      <c r="AS15" s="115">
        <v>6.7199999999999996E-2</v>
      </c>
      <c r="AT15" s="127" t="s">
        <v>193</v>
      </c>
      <c r="AU15" s="130" t="s">
        <v>170</v>
      </c>
      <c r="AV15" s="130" t="s">
        <v>169</v>
      </c>
      <c r="AW15" s="90" t="str">
        <f t="shared" si="6"/>
        <v>正确</v>
      </c>
      <c r="AX15" s="90" t="str">
        <f t="shared" si="7"/>
        <v>不</v>
      </c>
      <c r="AY15" s="90" t="str">
        <f t="shared" si="8"/>
        <v>不</v>
      </c>
    </row>
    <row r="16" spans="1:51">
      <c r="A16" s="84">
        <v>14</v>
      </c>
      <c r="B16" s="85" t="s">
        <v>67</v>
      </c>
      <c r="C16" s="80" t="s">
        <v>55</v>
      </c>
      <c r="D16" s="111" t="s">
        <v>56</v>
      </c>
      <c r="E16" s="86" t="str">
        <f t="shared" si="9"/>
        <v>男</v>
      </c>
      <c r="F16" s="118">
        <f t="shared" si="10"/>
        <v>34193</v>
      </c>
      <c r="G16" s="92">
        <v>17775340176</v>
      </c>
      <c r="H16" s="92" t="s">
        <v>71</v>
      </c>
      <c r="I16" s="108">
        <v>44562</v>
      </c>
      <c r="J16" s="93"/>
      <c r="K16" s="117">
        <v>14000</v>
      </c>
      <c r="L16" s="114">
        <f>VLOOKUP($D16,社保!$C:$Z,MATCH(L$1,社保!$C$1:$Z$1,0),FALSE)</f>
        <v>274.39999999999998</v>
      </c>
      <c r="M16" s="114">
        <f>VLOOKUP($D16,社保!$C:$Z,MATCH(M$1,社保!$C$1:$Z$1,0),FALSE)+VLOOKUP($D16,社保!$C:$Z,MATCH("个人大病",社保!$C$1:$Z$1,0),FALSE)</f>
        <v>68.599999999999994</v>
      </c>
      <c r="N16" s="114">
        <f>VLOOKUP($D16,社保!$C:$Z,MATCH(N$1,社保!$C$1:$Z$1,0),FALSE)</f>
        <v>17.149999999999999</v>
      </c>
      <c r="O16" s="114">
        <f>VLOOKUP($D16,社保!$C:$Z,MATCH(O$1,社保!$C$1:$Z$1,0),FALSE)</f>
        <v>83</v>
      </c>
      <c r="P16" s="114">
        <f t="shared" si="0"/>
        <v>443.15</v>
      </c>
      <c r="Q16" s="87"/>
      <c r="R16" s="88">
        <f>VLOOKUP($D16,个税系统表!$D:$AN,MATCH(海淀分公司工资表!R$1,个税系统表!$D$1:$AM$1,0),FALSE)</f>
        <v>14000</v>
      </c>
      <c r="S16" s="88">
        <f>VLOOKUP($D16,个税系统表!$D:$AN,MATCH(海淀分公司工资表!S$1,个税系统表!$D$1:$AM$1,0),FALSE)</f>
        <v>5000</v>
      </c>
      <c r="T16" s="88">
        <f>VLOOKUP($D16,个税系统表!$D:$AN,MATCH(海淀分公司工资表!T$1,个税系统表!$D$1:$AM$1,0),FALSE)</f>
        <v>443.15</v>
      </c>
      <c r="U16" s="88">
        <f>VLOOKUP($D16,个税系统表!$D:$AN,MATCH(海淀分公司工资表!U$2,个税系统表!$D$1:$AM$1,0),FALSE)</f>
        <v>0</v>
      </c>
      <c r="V16" s="88">
        <f>VLOOKUP($D16,个税系统表!$D:$AN,MATCH(海淀分公司工资表!V$2,个税系统表!$D$1:$AM$1,0),FALSE)</f>
        <v>0</v>
      </c>
      <c r="W16" s="88">
        <f>VLOOKUP($D16,个税系统表!$D:$AN,MATCH(海淀分公司工资表!W$2,个税系统表!$D$1:$AM$1,0),FALSE)</f>
        <v>0</v>
      </c>
      <c r="X16" s="88">
        <f>VLOOKUP($D16,个税系统表!$D:$AN,MATCH(海淀分公司工资表!X$2,个税系统表!$D$1:$AM$1,0),FALSE)</f>
        <v>0</v>
      </c>
      <c r="Y16" s="88">
        <f>VLOOKUP($D16,个税系统表!$D:$AN,MATCH(海淀分公司工资表!Y$2,个税系统表!$D$1:$AM$1,0),FALSE)</f>
        <v>0</v>
      </c>
      <c r="Z16" s="87"/>
      <c r="AA16" s="88">
        <f t="shared" si="1"/>
        <v>0</v>
      </c>
      <c r="AB16" s="88">
        <f>VLOOKUP($D16,个税系统表!$D:$AN,MATCH(海淀分公司工资表!AB$1,个税系统表!$D$1:$AM$1,0),FALSE)</f>
        <v>0</v>
      </c>
      <c r="AC16" s="88">
        <f>VLOOKUP($D16,个税系统表!$D:$AN,MATCH(海淀分公司工资表!AC$1,个税系统表!$D$1:$AM$1,0),FALSE)</f>
        <v>8556.85</v>
      </c>
      <c r="AD16" s="88">
        <f>VLOOKUP($D16,个税系统表!$D:$AN,MATCH(海淀分公司工资表!AD$1,个税系统表!$D$1:$AM$1,0),FALSE)</f>
        <v>256.70999999999998</v>
      </c>
      <c r="AE16" s="88">
        <f>VLOOKUP($D16,个税系统表!$D:$AN,MATCH(海淀分公司工资表!AE$1,个税系统表!$D$1:$AM$1,0),FALSE)</f>
        <v>0</v>
      </c>
      <c r="AF16" s="88">
        <f>VLOOKUP($D16,个税系统表!$D:$AN,MATCH(海淀分公司工资表!AF$1,个税系统表!$D$1:$AM$1,0),FALSE)</f>
        <v>256.70999999999998</v>
      </c>
      <c r="AG16" s="123">
        <f t="shared" si="2"/>
        <v>13300.140000000001</v>
      </c>
      <c r="AH16" s="89"/>
      <c r="AI16" s="144">
        <f t="shared" si="3"/>
        <v>13300.140000000001</v>
      </c>
      <c r="AJ16" s="114">
        <f>VLOOKUP($H16,缴费比例!$B:$O,MATCH(AJ$1,缴费比例!$B$1:$O$1,0),FALSE)</f>
        <v>180</v>
      </c>
      <c r="AK16" s="114"/>
      <c r="AL16" s="114"/>
      <c r="AM16" s="114"/>
      <c r="AN16" s="114"/>
      <c r="AO16" s="114"/>
      <c r="AP16" s="114">
        <f t="shared" si="4"/>
        <v>0</v>
      </c>
      <c r="AQ16" s="114">
        <v>2</v>
      </c>
      <c r="AR16" s="114">
        <f t="shared" si="5"/>
        <v>14182</v>
      </c>
      <c r="AS16" s="115">
        <v>6.7199999999999996E-2</v>
      </c>
      <c r="AT16" s="127" t="s">
        <v>194</v>
      </c>
      <c r="AU16" s="130" t="s">
        <v>170</v>
      </c>
      <c r="AV16" s="130" t="s">
        <v>169</v>
      </c>
      <c r="AW16" s="90" t="str">
        <f t="shared" si="6"/>
        <v>正确</v>
      </c>
      <c r="AX16" s="90" t="str">
        <f t="shared" si="7"/>
        <v>不</v>
      </c>
      <c r="AY16" s="90" t="str">
        <f t="shared" si="8"/>
        <v>不</v>
      </c>
    </row>
    <row r="17" spans="1:51">
      <c r="A17" s="84">
        <v>15</v>
      </c>
      <c r="B17" s="85" t="s">
        <v>67</v>
      </c>
      <c r="C17" s="80" t="s">
        <v>57</v>
      </c>
      <c r="D17" s="111" t="s">
        <v>58</v>
      </c>
      <c r="E17" s="86" t="str">
        <f t="shared" si="9"/>
        <v>男</v>
      </c>
      <c r="F17" s="118">
        <f t="shared" si="10"/>
        <v>34253</v>
      </c>
      <c r="G17" s="94">
        <v>18375326103</v>
      </c>
      <c r="H17" s="92" t="s">
        <v>71</v>
      </c>
      <c r="I17" s="108">
        <v>44562</v>
      </c>
      <c r="J17" s="80"/>
      <c r="K17" s="117">
        <v>16379.31</v>
      </c>
      <c r="L17" s="114">
        <f>VLOOKUP($D17,社保!$C:$Z,MATCH(L$1,社保!$C$1:$Z$1,0),FALSE)</f>
        <v>274.39999999999998</v>
      </c>
      <c r="M17" s="114">
        <f>VLOOKUP($D17,社保!$C:$Z,MATCH(M$1,社保!$C$1:$Z$1,0),FALSE)+VLOOKUP($D17,社保!$C:$Z,MATCH("个人大病",社保!$C$1:$Z$1,0),FALSE)</f>
        <v>68.599999999999994</v>
      </c>
      <c r="N17" s="114">
        <f>VLOOKUP($D17,社保!$C:$Z,MATCH(N$1,社保!$C$1:$Z$1,0),FALSE)</f>
        <v>17.149999999999999</v>
      </c>
      <c r="O17" s="114">
        <f>VLOOKUP($D17,社保!$C:$Z,MATCH(O$1,社保!$C$1:$Z$1,0),FALSE)</f>
        <v>83</v>
      </c>
      <c r="P17" s="114">
        <f t="shared" si="0"/>
        <v>443.15</v>
      </c>
      <c r="Q17" s="87"/>
      <c r="R17" s="88">
        <f>VLOOKUP($D17,个税系统表!$D:$AN,MATCH(海淀分公司工资表!R$1,个税系统表!$D$1:$AM$1,0),FALSE)</f>
        <v>16379.31</v>
      </c>
      <c r="S17" s="88">
        <f>VLOOKUP($D17,个税系统表!$D:$AN,MATCH(海淀分公司工资表!S$1,个税系统表!$D$1:$AM$1,0),FALSE)</f>
        <v>5000</v>
      </c>
      <c r="T17" s="88">
        <f>VLOOKUP($D17,个税系统表!$D:$AN,MATCH(海淀分公司工资表!T$1,个税系统表!$D$1:$AM$1,0),FALSE)</f>
        <v>443.15</v>
      </c>
      <c r="U17" s="88">
        <f>VLOOKUP($D17,个税系统表!$D:$AN,MATCH(海淀分公司工资表!U$2,个税系统表!$D$1:$AM$1,0),FALSE)</f>
        <v>0</v>
      </c>
      <c r="V17" s="88">
        <f>VLOOKUP($D17,个税系统表!$D:$AN,MATCH(海淀分公司工资表!V$2,个税系统表!$D$1:$AM$1,0),FALSE)</f>
        <v>0</v>
      </c>
      <c r="W17" s="88">
        <f>VLOOKUP($D17,个税系统表!$D:$AN,MATCH(海淀分公司工资表!W$2,个税系统表!$D$1:$AM$1,0),FALSE)</f>
        <v>0</v>
      </c>
      <c r="X17" s="88">
        <f>VLOOKUP($D17,个税系统表!$D:$AN,MATCH(海淀分公司工资表!X$2,个税系统表!$D$1:$AM$1,0),FALSE)</f>
        <v>0</v>
      </c>
      <c r="Y17" s="88">
        <f>VLOOKUP($D17,个税系统表!$D:$AN,MATCH(海淀分公司工资表!Y$2,个税系统表!$D$1:$AM$1,0),FALSE)</f>
        <v>0</v>
      </c>
      <c r="Z17" s="87"/>
      <c r="AA17" s="88">
        <f t="shared" si="1"/>
        <v>0</v>
      </c>
      <c r="AB17" s="88">
        <f>VLOOKUP($D17,个税系统表!$D:$AN,MATCH(海淀分公司工资表!AB$1,个税系统表!$D$1:$AM$1,0),FALSE)</f>
        <v>0</v>
      </c>
      <c r="AC17" s="88">
        <f>VLOOKUP($D17,个税系统表!$D:$AN,MATCH(海淀分公司工资表!AC$1,个税系统表!$D$1:$AM$1,0),FALSE)</f>
        <v>10936.16</v>
      </c>
      <c r="AD17" s="88">
        <f>VLOOKUP($D17,个税系统表!$D:$AN,MATCH(海淀分公司工资表!AD$1,个税系统表!$D$1:$AM$1,0),FALSE)</f>
        <v>328.08</v>
      </c>
      <c r="AE17" s="88">
        <f>VLOOKUP($D17,个税系统表!$D:$AN,MATCH(海淀分公司工资表!AE$1,个税系统表!$D$1:$AM$1,0),FALSE)</f>
        <v>0</v>
      </c>
      <c r="AF17" s="88">
        <f>VLOOKUP($D17,个税系统表!$D:$AN,MATCH(海淀分公司工资表!AF$1,个税系统表!$D$1:$AM$1,0),FALSE)</f>
        <v>328.08</v>
      </c>
      <c r="AG17" s="123">
        <f t="shared" si="2"/>
        <v>15608.08</v>
      </c>
      <c r="AH17" s="89"/>
      <c r="AI17" s="144">
        <f t="shared" si="3"/>
        <v>15608.08</v>
      </c>
      <c r="AJ17" s="114">
        <f>VLOOKUP($H17,缴费比例!$B:$O,MATCH(AJ$1,缴费比例!$B$1:$O$1,0),FALSE)</f>
        <v>180</v>
      </c>
      <c r="AK17" s="114"/>
      <c r="AL17" s="114"/>
      <c r="AM17" s="114"/>
      <c r="AN17" s="114"/>
      <c r="AO17" s="114"/>
      <c r="AP17" s="114">
        <f t="shared" si="4"/>
        <v>0</v>
      </c>
      <c r="AQ17" s="114">
        <v>2</v>
      </c>
      <c r="AR17" s="114">
        <f t="shared" si="5"/>
        <v>16561.309999999998</v>
      </c>
      <c r="AS17" s="115">
        <v>6.7199999999999996E-2</v>
      </c>
      <c r="AT17" s="127" t="s">
        <v>195</v>
      </c>
      <c r="AU17" s="130" t="s">
        <v>170</v>
      </c>
      <c r="AV17" s="130" t="s">
        <v>180</v>
      </c>
      <c r="AW17" s="90" t="str">
        <f t="shared" si="6"/>
        <v>正确</v>
      </c>
      <c r="AX17" s="90" t="str">
        <f t="shared" si="7"/>
        <v>不</v>
      </c>
      <c r="AY17" s="90" t="str">
        <f t="shared" si="8"/>
        <v>不</v>
      </c>
    </row>
    <row r="18" spans="1:51">
      <c r="A18" s="84">
        <v>16</v>
      </c>
      <c r="B18" s="85" t="s">
        <v>67</v>
      </c>
      <c r="C18" s="80" t="s">
        <v>59</v>
      </c>
      <c r="D18" s="111" t="s">
        <v>60</v>
      </c>
      <c r="E18" s="86" t="str">
        <f t="shared" si="9"/>
        <v>男</v>
      </c>
      <c r="F18" s="118">
        <f t="shared" si="10"/>
        <v>34911</v>
      </c>
      <c r="G18" s="94">
        <v>18895324958</v>
      </c>
      <c r="H18" s="92" t="s">
        <v>154</v>
      </c>
      <c r="I18" s="108">
        <v>44562</v>
      </c>
      <c r="J18" s="93"/>
      <c r="K18" s="117">
        <v>11000</v>
      </c>
      <c r="L18" s="114">
        <f>VLOOKUP($D18,社保!$C:$Z,MATCH(L$1,社保!$C$1:$Z$1,0),FALSE)</f>
        <v>274.39999999999998</v>
      </c>
      <c r="M18" s="114">
        <f>VLOOKUP($D18,社保!$C:$Z,MATCH(M$1,社保!$C$1:$Z$1,0),FALSE)+VLOOKUP($D18,社保!$C:$Z,MATCH("个人大病",社保!$C$1:$Z$1,0),FALSE)</f>
        <v>68.599999999999994</v>
      </c>
      <c r="N18" s="114">
        <f>VLOOKUP($D18,社保!$C:$Z,MATCH(N$1,社保!$C$1:$Z$1,0),FALSE)</f>
        <v>17.149999999999999</v>
      </c>
      <c r="O18" s="114">
        <f>VLOOKUP($D18,社保!$C:$Z,MATCH(O$1,社保!$C$1:$Z$1,0),FALSE)</f>
        <v>1320</v>
      </c>
      <c r="P18" s="114">
        <f t="shared" si="0"/>
        <v>1680.15</v>
      </c>
      <c r="Q18" s="87"/>
      <c r="R18" s="88">
        <f>VLOOKUP($D18,个税系统表!$D:$AN,MATCH(海淀分公司工资表!R$1,个税系统表!$D$1:$AM$1,0),FALSE)</f>
        <v>11000</v>
      </c>
      <c r="S18" s="88">
        <f>VLOOKUP($D18,个税系统表!$D:$AN,MATCH(海淀分公司工资表!S$1,个税系统表!$D$1:$AM$1,0),FALSE)</f>
        <v>5000</v>
      </c>
      <c r="T18" s="88">
        <f>VLOOKUP($D18,个税系统表!$D:$AN,MATCH(海淀分公司工资表!T$1,个税系统表!$D$1:$AM$1,0),FALSE)</f>
        <v>1680.15</v>
      </c>
      <c r="U18" s="88">
        <f>VLOOKUP($D18,个税系统表!$D:$AN,MATCH(海淀分公司工资表!U$2,个税系统表!$D$1:$AM$1,0),FALSE)</f>
        <v>0</v>
      </c>
      <c r="V18" s="88">
        <f>VLOOKUP($D18,个税系统表!$D:$AN,MATCH(海淀分公司工资表!V$2,个税系统表!$D$1:$AM$1,0),FALSE)</f>
        <v>0</v>
      </c>
      <c r="W18" s="88">
        <f>VLOOKUP($D18,个税系统表!$D:$AN,MATCH(海淀分公司工资表!W$2,个税系统表!$D$1:$AM$1,0),FALSE)</f>
        <v>0</v>
      </c>
      <c r="X18" s="88">
        <f>VLOOKUP($D18,个税系统表!$D:$AN,MATCH(海淀分公司工资表!X$2,个税系统表!$D$1:$AM$1,0),FALSE)</f>
        <v>0</v>
      </c>
      <c r="Y18" s="88">
        <f>VLOOKUP($D18,个税系统表!$D:$AN,MATCH(海淀分公司工资表!Y$2,个税系统表!$D$1:$AM$1,0),FALSE)</f>
        <v>0</v>
      </c>
      <c r="Z18" s="87"/>
      <c r="AA18" s="88">
        <f t="shared" si="1"/>
        <v>0</v>
      </c>
      <c r="AB18" s="88">
        <f>VLOOKUP($D18,个税系统表!$D:$AN,MATCH(海淀分公司工资表!AB$1,个税系统表!$D$1:$AM$1,0),FALSE)</f>
        <v>0</v>
      </c>
      <c r="AC18" s="88">
        <f>VLOOKUP($D18,个税系统表!$D:$AN,MATCH(海淀分公司工资表!AC$1,个税系统表!$D$1:$AM$1,0),FALSE)</f>
        <v>4319.8500000000004</v>
      </c>
      <c r="AD18" s="88">
        <f>VLOOKUP($D18,个税系统表!$D:$AN,MATCH(海淀分公司工资表!AD$1,个税系统表!$D$1:$AM$1,0),FALSE)</f>
        <v>129.6</v>
      </c>
      <c r="AE18" s="88">
        <f>VLOOKUP($D18,个税系统表!$D:$AN,MATCH(海淀分公司工资表!AE$1,个税系统表!$D$1:$AM$1,0),FALSE)</f>
        <v>0</v>
      </c>
      <c r="AF18" s="88">
        <f>VLOOKUP($D18,个税系统表!$D:$AN,MATCH(海淀分公司工资表!AF$1,个税系统表!$D$1:$AM$1,0),FALSE)</f>
        <v>129.6</v>
      </c>
      <c r="AG18" s="123">
        <f t="shared" si="2"/>
        <v>9190.25</v>
      </c>
      <c r="AH18" s="89"/>
      <c r="AI18" s="144">
        <f t="shared" si="3"/>
        <v>9190.25</v>
      </c>
      <c r="AJ18" s="114">
        <f>VLOOKUP($H18,缴费比例!$B:$O,MATCH(AJ$1,缴费比例!$B$1:$O$1,0),FALSE)</f>
        <v>180</v>
      </c>
      <c r="AK18" s="114"/>
      <c r="AL18" s="114"/>
      <c r="AM18" s="114"/>
      <c r="AN18" s="114"/>
      <c r="AO18" s="114"/>
      <c r="AP18" s="114">
        <f t="shared" si="4"/>
        <v>0</v>
      </c>
      <c r="AQ18" s="114">
        <v>2</v>
      </c>
      <c r="AR18" s="114">
        <f t="shared" si="5"/>
        <v>11182</v>
      </c>
      <c r="AS18" s="115">
        <v>6.7199999999999996E-2</v>
      </c>
      <c r="AT18" s="127" t="s">
        <v>196</v>
      </c>
      <c r="AU18" s="130" t="s">
        <v>170</v>
      </c>
      <c r="AV18" s="130" t="s">
        <v>169</v>
      </c>
      <c r="AW18" s="90" t="str">
        <f t="shared" si="6"/>
        <v>正确</v>
      </c>
      <c r="AX18" s="90" t="str">
        <f t="shared" si="7"/>
        <v>不</v>
      </c>
      <c r="AY18" s="90" t="str">
        <f t="shared" si="8"/>
        <v>不</v>
      </c>
    </row>
    <row r="19" spans="1:51">
      <c r="A19" s="84">
        <v>17</v>
      </c>
      <c r="B19" s="85" t="s">
        <v>67</v>
      </c>
      <c r="C19" s="80" t="s">
        <v>61</v>
      </c>
      <c r="D19" s="111" t="s">
        <v>62</v>
      </c>
      <c r="E19" s="86" t="str">
        <f t="shared" si="9"/>
        <v>男</v>
      </c>
      <c r="F19" s="118">
        <f t="shared" si="10"/>
        <v>33774</v>
      </c>
      <c r="G19" s="94">
        <v>18255196660</v>
      </c>
      <c r="H19" s="92" t="s">
        <v>71</v>
      </c>
      <c r="I19" s="108">
        <v>44562</v>
      </c>
      <c r="J19" s="93"/>
      <c r="K19" s="117">
        <v>16379.31</v>
      </c>
      <c r="L19" s="114">
        <f>VLOOKUP($D19,社保!$C:$Z,MATCH(L$1,社保!$C$1:$Z$1,0),FALSE)</f>
        <v>274.39999999999998</v>
      </c>
      <c r="M19" s="114">
        <f>VLOOKUP($D19,社保!$C:$Z,MATCH(M$1,社保!$C$1:$Z$1,0),FALSE)+VLOOKUP($D19,社保!$C:$Z,MATCH("个人大病",社保!$C$1:$Z$1,0),FALSE)</f>
        <v>68.599999999999994</v>
      </c>
      <c r="N19" s="114">
        <f>VLOOKUP($D19,社保!$C:$Z,MATCH(N$1,社保!$C$1:$Z$1,0),FALSE)</f>
        <v>17.149999999999999</v>
      </c>
      <c r="O19" s="114">
        <f>VLOOKUP($D19,社保!$C:$Z,MATCH(O$1,社保!$C$1:$Z$1,0),FALSE)</f>
        <v>83</v>
      </c>
      <c r="P19" s="114">
        <f t="shared" si="0"/>
        <v>443.15</v>
      </c>
      <c r="Q19" s="87"/>
      <c r="R19" s="88">
        <f>VLOOKUP($D19,个税系统表!$D:$AN,MATCH(海淀分公司工资表!R$1,个税系统表!$D$1:$AM$1,0),FALSE)</f>
        <v>16379.31</v>
      </c>
      <c r="S19" s="88">
        <f>VLOOKUP($D19,个税系统表!$D:$AN,MATCH(海淀分公司工资表!S$1,个税系统表!$D$1:$AM$1,0),FALSE)</f>
        <v>5000</v>
      </c>
      <c r="T19" s="88">
        <f>VLOOKUP($D19,个税系统表!$D:$AN,MATCH(海淀分公司工资表!T$1,个税系统表!$D$1:$AM$1,0),FALSE)</f>
        <v>443.15</v>
      </c>
      <c r="U19" s="88">
        <f>VLOOKUP($D19,个税系统表!$D:$AN,MATCH(海淀分公司工资表!U$2,个税系统表!$D$1:$AM$1,0),FALSE)</f>
        <v>0</v>
      </c>
      <c r="V19" s="88">
        <f>VLOOKUP($D19,个税系统表!$D:$AN,MATCH(海淀分公司工资表!V$2,个税系统表!$D$1:$AM$1,0),FALSE)</f>
        <v>0</v>
      </c>
      <c r="W19" s="88">
        <f>VLOOKUP($D19,个税系统表!$D:$AN,MATCH(海淀分公司工资表!W$2,个税系统表!$D$1:$AM$1,0),FALSE)</f>
        <v>0</v>
      </c>
      <c r="X19" s="88">
        <f>VLOOKUP($D19,个税系统表!$D:$AN,MATCH(海淀分公司工资表!X$2,个税系统表!$D$1:$AM$1,0),FALSE)</f>
        <v>0</v>
      </c>
      <c r="Y19" s="88">
        <f>VLOOKUP($D19,个税系统表!$D:$AN,MATCH(海淀分公司工资表!Y$2,个税系统表!$D$1:$AM$1,0),FALSE)</f>
        <v>0</v>
      </c>
      <c r="Z19" s="87"/>
      <c r="AA19" s="88">
        <f t="shared" si="1"/>
        <v>0</v>
      </c>
      <c r="AB19" s="88">
        <f>VLOOKUP($D19,个税系统表!$D:$AN,MATCH(海淀分公司工资表!AB$1,个税系统表!$D$1:$AM$1,0),FALSE)</f>
        <v>0</v>
      </c>
      <c r="AC19" s="88">
        <f>VLOOKUP($D19,个税系统表!$D:$AN,MATCH(海淀分公司工资表!AC$1,个税系统表!$D$1:$AM$1,0),FALSE)</f>
        <v>10936.16</v>
      </c>
      <c r="AD19" s="88">
        <f>VLOOKUP($D19,个税系统表!$D:$AN,MATCH(海淀分公司工资表!AD$1,个税系统表!$D$1:$AM$1,0),FALSE)</f>
        <v>328.08</v>
      </c>
      <c r="AE19" s="88">
        <f>VLOOKUP($D19,个税系统表!$D:$AN,MATCH(海淀分公司工资表!AE$1,个税系统表!$D$1:$AM$1,0),FALSE)</f>
        <v>0</v>
      </c>
      <c r="AF19" s="88">
        <f>VLOOKUP($D19,个税系统表!$D:$AN,MATCH(海淀分公司工资表!AF$1,个税系统表!$D$1:$AM$1,0),FALSE)</f>
        <v>328.08</v>
      </c>
      <c r="AG19" s="123">
        <f t="shared" si="2"/>
        <v>15608.08</v>
      </c>
      <c r="AH19" s="89"/>
      <c r="AI19" s="144">
        <f t="shared" si="3"/>
        <v>15608.08</v>
      </c>
      <c r="AJ19" s="114">
        <f>VLOOKUP($H19,缴费比例!$B:$O,MATCH(AJ$1,缴费比例!$B$1:$O$1,0),FALSE)</f>
        <v>180</v>
      </c>
      <c r="AK19" s="114"/>
      <c r="AL19" s="114"/>
      <c r="AM19" s="114"/>
      <c r="AN19" s="114"/>
      <c r="AO19" s="114"/>
      <c r="AP19" s="114">
        <f t="shared" si="4"/>
        <v>0</v>
      </c>
      <c r="AQ19" s="114">
        <v>2</v>
      </c>
      <c r="AR19" s="114">
        <f t="shared" si="5"/>
        <v>16561.309999999998</v>
      </c>
      <c r="AS19" s="115">
        <v>6.7199999999999996E-2</v>
      </c>
      <c r="AT19" s="127" t="s">
        <v>197</v>
      </c>
      <c r="AU19" s="130" t="s">
        <v>170</v>
      </c>
      <c r="AV19" s="130" t="s">
        <v>169</v>
      </c>
      <c r="AW19" s="90" t="str">
        <f t="shared" si="6"/>
        <v>正确</v>
      </c>
      <c r="AX19" s="90" t="str">
        <f t="shared" si="7"/>
        <v>不</v>
      </c>
      <c r="AY19" s="90" t="str">
        <f t="shared" si="8"/>
        <v>不</v>
      </c>
    </row>
    <row r="20" spans="1:51">
      <c r="A20" s="84">
        <v>18</v>
      </c>
      <c r="B20" s="85" t="s">
        <v>67</v>
      </c>
      <c r="C20" s="80" t="s">
        <v>63</v>
      </c>
      <c r="D20" s="111" t="s">
        <v>64</v>
      </c>
      <c r="E20" s="86" t="str">
        <f t="shared" si="9"/>
        <v>男</v>
      </c>
      <c r="F20" s="118">
        <f t="shared" si="10"/>
        <v>33034</v>
      </c>
      <c r="G20" s="92">
        <v>13615514441</v>
      </c>
      <c r="H20" s="92" t="s">
        <v>71</v>
      </c>
      <c r="I20" s="108">
        <v>44562</v>
      </c>
      <c r="J20" s="93"/>
      <c r="K20" s="117">
        <v>17000</v>
      </c>
      <c r="L20" s="114">
        <f>VLOOKUP($D20,社保!$C:$Z,MATCH(L$1,社保!$C$1:$Z$1,0),FALSE)</f>
        <v>274.39999999999998</v>
      </c>
      <c r="M20" s="114">
        <f>VLOOKUP($D20,社保!$C:$Z,MATCH(M$1,社保!$C$1:$Z$1,0),FALSE)+VLOOKUP($D20,社保!$C:$Z,MATCH("个人大病",社保!$C$1:$Z$1,0),FALSE)</f>
        <v>68.599999999999994</v>
      </c>
      <c r="N20" s="114">
        <f>VLOOKUP($D20,社保!$C:$Z,MATCH(N$1,社保!$C$1:$Z$1,0),FALSE)</f>
        <v>17.149999999999999</v>
      </c>
      <c r="O20" s="114">
        <f>VLOOKUP($D20,社保!$C:$Z,MATCH(O$1,社保!$C$1:$Z$1,0),FALSE)</f>
        <v>83</v>
      </c>
      <c r="P20" s="114">
        <f t="shared" si="0"/>
        <v>443.15</v>
      </c>
      <c r="Q20" s="87"/>
      <c r="R20" s="88">
        <f>VLOOKUP($D20,个税系统表!$D:$AN,MATCH(海淀分公司工资表!R$1,个税系统表!$D$1:$AM$1,0),FALSE)</f>
        <v>17000</v>
      </c>
      <c r="S20" s="88">
        <f>VLOOKUP($D20,个税系统表!$D:$AN,MATCH(海淀分公司工资表!S$1,个税系统表!$D$1:$AM$1,0),FALSE)</f>
        <v>5000</v>
      </c>
      <c r="T20" s="88">
        <f>VLOOKUP($D20,个税系统表!$D:$AN,MATCH(海淀分公司工资表!T$1,个税系统表!$D$1:$AM$1,0),FALSE)</f>
        <v>443.15</v>
      </c>
      <c r="U20" s="88">
        <f>VLOOKUP($D20,个税系统表!$D:$AN,MATCH(海淀分公司工资表!U$2,个税系统表!$D$1:$AM$1,0),FALSE)</f>
        <v>0</v>
      </c>
      <c r="V20" s="88">
        <f>VLOOKUP($D20,个税系统表!$D:$AN,MATCH(海淀分公司工资表!V$2,个税系统表!$D$1:$AM$1,0),FALSE)</f>
        <v>0</v>
      </c>
      <c r="W20" s="88">
        <f>VLOOKUP($D20,个税系统表!$D:$AN,MATCH(海淀分公司工资表!W$2,个税系统表!$D$1:$AM$1,0),FALSE)</f>
        <v>0</v>
      </c>
      <c r="X20" s="88">
        <f>VLOOKUP($D20,个税系统表!$D:$AN,MATCH(海淀分公司工资表!X$2,个税系统表!$D$1:$AM$1,0),FALSE)</f>
        <v>0</v>
      </c>
      <c r="Y20" s="88">
        <f>VLOOKUP($D20,个税系统表!$D:$AN,MATCH(海淀分公司工资表!Y$2,个税系统表!$D$1:$AM$1,0),FALSE)</f>
        <v>0</v>
      </c>
      <c r="Z20" s="87"/>
      <c r="AA20" s="88">
        <f t="shared" si="1"/>
        <v>0</v>
      </c>
      <c r="AB20" s="88">
        <f>VLOOKUP($D20,个税系统表!$D:$AN,MATCH(海淀分公司工资表!AB$1,个税系统表!$D$1:$AM$1,0),FALSE)</f>
        <v>0</v>
      </c>
      <c r="AC20" s="88">
        <f>VLOOKUP($D20,个税系统表!$D:$AN,MATCH(海淀分公司工资表!AC$1,个税系统表!$D$1:$AM$1,0),FALSE)</f>
        <v>11556.85</v>
      </c>
      <c r="AD20" s="88">
        <f>VLOOKUP($D20,个税系统表!$D:$AN,MATCH(海淀分公司工资表!AD$1,个税系统表!$D$1:$AM$1,0),FALSE)</f>
        <v>346.71</v>
      </c>
      <c r="AE20" s="88">
        <f>VLOOKUP($D20,个税系统表!$D:$AN,MATCH(海淀分公司工资表!AE$1,个税系统表!$D$1:$AM$1,0),FALSE)</f>
        <v>0</v>
      </c>
      <c r="AF20" s="88">
        <f>VLOOKUP($D20,个税系统表!$D:$AN,MATCH(海淀分公司工资表!AF$1,个税系统表!$D$1:$AM$1,0),FALSE)</f>
        <v>346.71</v>
      </c>
      <c r="AG20" s="123">
        <f t="shared" si="2"/>
        <v>16210.14</v>
      </c>
      <c r="AH20" s="89"/>
      <c r="AI20" s="144">
        <f t="shared" si="3"/>
        <v>16210.14</v>
      </c>
      <c r="AJ20" s="114">
        <f>VLOOKUP($H20,缴费比例!$B:$O,MATCH(AJ$1,缴费比例!$B$1:$O$1,0),FALSE)</f>
        <v>180</v>
      </c>
      <c r="AK20" s="114"/>
      <c r="AL20" s="114"/>
      <c r="AM20" s="114"/>
      <c r="AN20" s="114"/>
      <c r="AO20" s="114"/>
      <c r="AP20" s="114">
        <f t="shared" si="4"/>
        <v>0</v>
      </c>
      <c r="AQ20" s="114">
        <v>2</v>
      </c>
      <c r="AR20" s="114">
        <f t="shared" si="5"/>
        <v>17182</v>
      </c>
      <c r="AS20" s="115">
        <v>6.7199999999999996E-2</v>
      </c>
      <c r="AT20" s="127" t="s">
        <v>198</v>
      </c>
      <c r="AU20" s="130" t="s">
        <v>170</v>
      </c>
      <c r="AV20" s="130" t="s">
        <v>169</v>
      </c>
      <c r="AW20" s="90" t="str">
        <f t="shared" si="6"/>
        <v>正确</v>
      </c>
      <c r="AX20" s="90" t="str">
        <f t="shared" si="7"/>
        <v>不</v>
      </c>
      <c r="AY20" s="90" t="str">
        <f t="shared" si="8"/>
        <v>不</v>
      </c>
    </row>
    <row r="21" spans="1:51">
      <c r="A21" s="84">
        <v>19</v>
      </c>
      <c r="B21" s="85" t="s">
        <v>67</v>
      </c>
      <c r="C21" s="80" t="s">
        <v>65</v>
      </c>
      <c r="D21" s="111" t="s">
        <v>66</v>
      </c>
      <c r="E21" s="86" t="str">
        <f t="shared" si="9"/>
        <v>男</v>
      </c>
      <c r="F21" s="118">
        <f t="shared" si="10"/>
        <v>34157</v>
      </c>
      <c r="G21" s="92">
        <v>18256940817</v>
      </c>
      <c r="H21" s="92" t="s">
        <v>71</v>
      </c>
      <c r="I21" s="108">
        <v>44562</v>
      </c>
      <c r="J21" s="93"/>
      <c r="K21" s="117">
        <v>14793.1</v>
      </c>
      <c r="L21" s="114">
        <f>VLOOKUP($D21,社保!$C:$Z,MATCH(L$1,社保!$C$1:$Z$1,0),FALSE)</f>
        <v>274.39999999999998</v>
      </c>
      <c r="M21" s="114">
        <f>VLOOKUP($D21,社保!$C:$Z,MATCH(M$1,社保!$C$1:$Z$1,0),FALSE)+VLOOKUP($D21,社保!$C:$Z,MATCH("个人大病",社保!$C$1:$Z$1,0),FALSE)</f>
        <v>68.599999999999994</v>
      </c>
      <c r="N21" s="114">
        <f>VLOOKUP($D21,社保!$C:$Z,MATCH(N$1,社保!$C$1:$Z$1,0),FALSE)</f>
        <v>17.149999999999999</v>
      </c>
      <c r="O21" s="114">
        <f>VLOOKUP($D21,社保!$C:$Z,MATCH(O$1,社保!$C$1:$Z$1,0),FALSE)</f>
        <v>83</v>
      </c>
      <c r="P21" s="114">
        <f t="shared" si="0"/>
        <v>443.15</v>
      </c>
      <c r="Q21" s="87"/>
      <c r="R21" s="88">
        <f>VLOOKUP($D21,个税系统表!$D:$AN,MATCH(海淀分公司工资表!R$1,个税系统表!$D$1:$AM$1,0),FALSE)</f>
        <v>14793.1</v>
      </c>
      <c r="S21" s="88">
        <f>VLOOKUP($D21,个税系统表!$D:$AN,MATCH(海淀分公司工资表!S$1,个税系统表!$D$1:$AM$1,0),FALSE)</f>
        <v>5000</v>
      </c>
      <c r="T21" s="88">
        <f>VLOOKUP($D21,个税系统表!$D:$AN,MATCH(海淀分公司工资表!T$1,个税系统表!$D$1:$AM$1,0),FALSE)</f>
        <v>443.15</v>
      </c>
      <c r="U21" s="88">
        <f>VLOOKUP($D21,个税系统表!$D:$AN,MATCH(海淀分公司工资表!U$2,个税系统表!$D$1:$AM$1,0),FALSE)</f>
        <v>0</v>
      </c>
      <c r="V21" s="88">
        <f>VLOOKUP($D21,个税系统表!$D:$AN,MATCH(海淀分公司工资表!V$2,个税系统表!$D$1:$AM$1,0),FALSE)</f>
        <v>0</v>
      </c>
      <c r="W21" s="88">
        <f>VLOOKUP($D21,个税系统表!$D:$AN,MATCH(海淀分公司工资表!W$2,个税系统表!$D$1:$AM$1,0),FALSE)</f>
        <v>0</v>
      </c>
      <c r="X21" s="88">
        <f>VLOOKUP($D21,个税系统表!$D:$AN,MATCH(海淀分公司工资表!X$2,个税系统表!$D$1:$AM$1,0),FALSE)</f>
        <v>0</v>
      </c>
      <c r="Y21" s="88">
        <f>VLOOKUP($D21,个税系统表!$D:$AN,MATCH(海淀分公司工资表!Y$2,个税系统表!$D$1:$AM$1,0),FALSE)</f>
        <v>0</v>
      </c>
      <c r="Z21" s="87"/>
      <c r="AA21" s="88">
        <f t="shared" si="1"/>
        <v>0</v>
      </c>
      <c r="AB21" s="88">
        <f>VLOOKUP($D21,个税系统表!$D:$AN,MATCH(海淀分公司工资表!AB$1,个税系统表!$D$1:$AM$1,0),FALSE)</f>
        <v>0</v>
      </c>
      <c r="AC21" s="88">
        <f>VLOOKUP($D21,个税系统表!$D:$AN,MATCH(海淀分公司工资表!AC$1,个税系统表!$D$1:$AM$1,0),FALSE)</f>
        <v>9349.9500000000007</v>
      </c>
      <c r="AD21" s="88">
        <f>VLOOKUP($D21,个税系统表!$D:$AN,MATCH(海淀分公司工资表!AD$1,个税系统表!$D$1:$AM$1,0),FALSE)</f>
        <v>280.5</v>
      </c>
      <c r="AE21" s="88">
        <f>VLOOKUP($D21,个税系统表!$D:$AN,MATCH(海淀分公司工资表!AE$1,个税系统表!$D$1:$AM$1,0),FALSE)</f>
        <v>0</v>
      </c>
      <c r="AF21" s="88">
        <f>VLOOKUP($D21,个税系统表!$D:$AN,MATCH(海淀分公司工资表!AF$1,个税系统表!$D$1:$AM$1,0),FALSE)</f>
        <v>280.5</v>
      </c>
      <c r="AG21" s="123">
        <f t="shared" si="2"/>
        <v>14069.45</v>
      </c>
      <c r="AH21" s="89"/>
      <c r="AI21" s="144">
        <f t="shared" si="3"/>
        <v>14069.45</v>
      </c>
      <c r="AJ21" s="114">
        <f>VLOOKUP($H21,缴费比例!$B:$O,MATCH(AJ$1,缴费比例!$B$1:$O$1,0),FALSE)</f>
        <v>180</v>
      </c>
      <c r="AK21" s="114"/>
      <c r="AL21" s="114"/>
      <c r="AM21" s="114"/>
      <c r="AN21" s="114"/>
      <c r="AO21" s="114"/>
      <c r="AP21" s="114">
        <f t="shared" si="4"/>
        <v>0</v>
      </c>
      <c r="AQ21" s="114">
        <v>2</v>
      </c>
      <c r="AR21" s="114">
        <f t="shared" si="5"/>
        <v>14975.1</v>
      </c>
      <c r="AS21" s="115">
        <v>6.7199999999999996E-2</v>
      </c>
      <c r="AT21" s="127" t="s">
        <v>199</v>
      </c>
      <c r="AU21" s="130" t="s">
        <v>170</v>
      </c>
      <c r="AV21" s="130" t="s">
        <v>169</v>
      </c>
      <c r="AW21" s="90" t="str">
        <f t="shared" si="6"/>
        <v>正确</v>
      </c>
      <c r="AX21" s="90" t="str">
        <f t="shared" si="7"/>
        <v>不</v>
      </c>
      <c r="AY21" s="90" t="str">
        <f t="shared" si="8"/>
        <v>不</v>
      </c>
    </row>
    <row r="22" spans="1:51">
      <c r="A22" s="84"/>
      <c r="B22" s="85"/>
      <c r="C22" s="80"/>
      <c r="D22" s="111"/>
      <c r="E22" s="86"/>
      <c r="F22" s="118"/>
      <c r="G22" s="92"/>
      <c r="H22" s="92"/>
      <c r="I22" s="108"/>
      <c r="J22" s="93"/>
      <c r="K22" s="117"/>
      <c r="L22" s="114"/>
      <c r="M22" s="114"/>
      <c r="N22" s="114"/>
      <c r="O22" s="114"/>
      <c r="P22" s="116"/>
      <c r="Q22" s="87"/>
      <c r="R22" s="88"/>
      <c r="S22" s="88"/>
      <c r="T22" s="88"/>
      <c r="U22" s="88"/>
      <c r="V22" s="88"/>
      <c r="W22" s="88"/>
      <c r="X22" s="88"/>
      <c r="Y22" s="88"/>
      <c r="Z22" s="87"/>
      <c r="AA22" s="88"/>
      <c r="AB22" s="88"/>
      <c r="AC22" s="88"/>
      <c r="AD22" s="88"/>
      <c r="AE22" s="88"/>
      <c r="AF22" s="88"/>
      <c r="AG22" s="123"/>
      <c r="AH22" s="89"/>
      <c r="AI22" s="14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5"/>
      <c r="AT22" s="130"/>
      <c r="AU22" s="130"/>
      <c r="AV22" s="130"/>
      <c r="AW22" s="90"/>
      <c r="AX22" s="90"/>
      <c r="AY22" s="90"/>
    </row>
    <row r="23" spans="1:51">
      <c r="A23" s="84"/>
      <c r="B23" s="85"/>
      <c r="C23" s="80"/>
      <c r="D23" s="111"/>
      <c r="E23" s="86"/>
      <c r="F23" s="118"/>
      <c r="G23" s="92"/>
      <c r="H23" s="92"/>
      <c r="I23" s="108"/>
      <c r="J23" s="93"/>
      <c r="K23" s="117"/>
      <c r="L23" s="114"/>
      <c r="M23" s="114"/>
      <c r="N23" s="114"/>
      <c r="O23" s="114"/>
      <c r="P23" s="116"/>
      <c r="Q23" s="87"/>
      <c r="R23" s="88"/>
      <c r="S23" s="88"/>
      <c r="T23" s="88"/>
      <c r="U23" s="88"/>
      <c r="V23" s="88"/>
      <c r="W23" s="88"/>
      <c r="X23" s="88"/>
      <c r="Y23" s="88"/>
      <c r="Z23" s="87"/>
      <c r="AA23" s="88"/>
      <c r="AB23" s="88"/>
      <c r="AC23" s="88"/>
      <c r="AD23" s="88"/>
      <c r="AE23" s="88"/>
      <c r="AF23" s="88"/>
      <c r="AG23" s="123"/>
      <c r="AH23" s="89"/>
      <c r="AI23" s="14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5"/>
      <c r="AT23" s="130"/>
      <c r="AU23" s="130"/>
      <c r="AV23" s="130"/>
      <c r="AW23" s="90"/>
      <c r="AX23" s="90"/>
      <c r="AY23" s="90"/>
    </row>
    <row r="24" spans="1:51">
      <c r="A24" s="84"/>
      <c r="B24" s="85"/>
      <c r="C24" s="80"/>
      <c r="D24" s="111"/>
      <c r="E24" s="86"/>
      <c r="F24" s="118"/>
      <c r="G24" s="92"/>
      <c r="H24" s="92"/>
      <c r="I24" s="108"/>
      <c r="J24" s="93"/>
      <c r="K24" s="117"/>
      <c r="L24" s="114"/>
      <c r="M24" s="114"/>
      <c r="N24" s="114"/>
      <c r="O24" s="114"/>
      <c r="P24" s="116"/>
      <c r="Q24" s="87"/>
      <c r="R24" s="88"/>
      <c r="S24" s="88"/>
      <c r="T24" s="88"/>
      <c r="U24" s="88"/>
      <c r="V24" s="88"/>
      <c r="W24" s="88"/>
      <c r="X24" s="88"/>
      <c r="Y24" s="88"/>
      <c r="Z24" s="87"/>
      <c r="AA24" s="88"/>
      <c r="AB24" s="88"/>
      <c r="AC24" s="88"/>
      <c r="AD24" s="88"/>
      <c r="AE24" s="88"/>
      <c r="AF24" s="88"/>
      <c r="AG24" s="123"/>
      <c r="AH24" s="89"/>
      <c r="AI24" s="14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5"/>
      <c r="AT24" s="130"/>
      <c r="AU24" s="130"/>
      <c r="AV24" s="130"/>
      <c r="AW24" s="90"/>
      <c r="AX24" s="90"/>
      <c r="AY24" s="90"/>
    </row>
    <row r="25" spans="1:51">
      <c r="A25" s="84"/>
      <c r="B25" s="85"/>
      <c r="C25" s="80"/>
      <c r="D25" s="111"/>
      <c r="E25" s="86"/>
      <c r="F25" s="118"/>
      <c r="G25" s="92"/>
      <c r="H25" s="92"/>
      <c r="I25" s="108"/>
      <c r="J25" s="93"/>
      <c r="K25" s="117"/>
      <c r="L25" s="114"/>
      <c r="M25" s="114"/>
      <c r="N25" s="114"/>
      <c r="O25" s="114"/>
      <c r="P25" s="116"/>
      <c r="Q25" s="87"/>
      <c r="R25" s="88"/>
      <c r="S25" s="88"/>
      <c r="T25" s="88"/>
      <c r="U25" s="88"/>
      <c r="V25" s="88"/>
      <c r="W25" s="88"/>
      <c r="X25" s="88"/>
      <c r="Y25" s="88"/>
      <c r="Z25" s="87"/>
      <c r="AA25" s="88"/>
      <c r="AB25" s="88"/>
      <c r="AC25" s="88"/>
      <c r="AD25" s="88"/>
      <c r="AE25" s="88"/>
      <c r="AF25" s="88"/>
      <c r="AG25" s="123"/>
      <c r="AH25" s="89"/>
      <c r="AI25" s="14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5"/>
      <c r="AT25" s="130"/>
      <c r="AU25" s="130"/>
      <c r="AV25" s="130"/>
      <c r="AW25" s="90"/>
      <c r="AX25" s="90"/>
      <c r="AY25" s="90"/>
    </row>
    <row r="26" spans="1:51">
      <c r="A26" s="84"/>
      <c r="B26" s="85"/>
      <c r="C26" s="80"/>
      <c r="D26" s="111"/>
      <c r="E26" s="86"/>
      <c r="F26" s="118"/>
      <c r="G26" s="92"/>
      <c r="H26" s="92"/>
      <c r="I26" s="108"/>
      <c r="J26" s="93"/>
      <c r="K26" s="117"/>
      <c r="L26" s="114"/>
      <c r="M26" s="114"/>
      <c r="N26" s="114"/>
      <c r="O26" s="114"/>
      <c r="P26" s="116"/>
      <c r="Q26" s="87"/>
      <c r="R26" s="88"/>
      <c r="S26" s="88"/>
      <c r="T26" s="88"/>
      <c r="U26" s="88"/>
      <c r="V26" s="88"/>
      <c r="W26" s="88"/>
      <c r="X26" s="88"/>
      <c r="Y26" s="88"/>
      <c r="Z26" s="87"/>
      <c r="AA26" s="88"/>
      <c r="AB26" s="88"/>
      <c r="AC26" s="88"/>
      <c r="AD26" s="88"/>
      <c r="AE26" s="88"/>
      <c r="AF26" s="88"/>
      <c r="AG26" s="123"/>
      <c r="AH26" s="89"/>
      <c r="AI26" s="14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5"/>
      <c r="AT26" s="130"/>
      <c r="AU26" s="130"/>
      <c r="AV26" s="130"/>
      <c r="AW26" s="90"/>
      <c r="AX26" s="90"/>
      <c r="AY26" s="90"/>
    </row>
    <row r="27" spans="1:51">
      <c r="A27" s="84"/>
      <c r="B27" s="85"/>
      <c r="C27" s="80"/>
      <c r="D27" s="111"/>
      <c r="E27" s="86"/>
      <c r="F27" s="118"/>
      <c r="G27" s="92"/>
      <c r="H27" s="92"/>
      <c r="I27" s="108"/>
      <c r="J27" s="93"/>
      <c r="K27" s="117"/>
      <c r="L27" s="114"/>
      <c r="M27" s="114"/>
      <c r="N27" s="114"/>
      <c r="O27" s="114"/>
      <c r="P27" s="116"/>
      <c r="Q27" s="87"/>
      <c r="R27" s="88"/>
      <c r="S27" s="88"/>
      <c r="T27" s="88"/>
      <c r="U27" s="88"/>
      <c r="V27" s="88"/>
      <c r="W27" s="88"/>
      <c r="X27" s="88"/>
      <c r="Y27" s="88"/>
      <c r="Z27" s="87"/>
      <c r="AA27" s="88"/>
      <c r="AB27" s="88"/>
      <c r="AC27" s="88"/>
      <c r="AD27" s="88"/>
      <c r="AE27" s="88"/>
      <c r="AF27" s="88"/>
      <c r="AG27" s="123"/>
      <c r="AH27" s="89"/>
      <c r="AI27" s="14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5"/>
      <c r="AT27" s="130"/>
      <c r="AU27" s="130"/>
      <c r="AV27" s="130"/>
      <c r="AW27" s="90"/>
      <c r="AX27" s="90"/>
      <c r="AY27" s="90"/>
    </row>
    <row r="28" spans="1:51">
      <c r="A28" s="84"/>
      <c r="B28" s="85"/>
      <c r="C28" s="80"/>
      <c r="D28" s="111"/>
      <c r="E28" s="86"/>
      <c r="F28" s="118"/>
      <c r="G28" s="92"/>
      <c r="H28" s="92"/>
      <c r="I28" s="108"/>
      <c r="J28" s="93"/>
      <c r="K28" s="117"/>
      <c r="L28" s="114"/>
      <c r="M28" s="114"/>
      <c r="N28" s="114"/>
      <c r="O28" s="114"/>
      <c r="P28" s="116"/>
      <c r="Q28" s="87"/>
      <c r="R28" s="88"/>
      <c r="S28" s="88"/>
      <c r="T28" s="88"/>
      <c r="U28" s="88"/>
      <c r="V28" s="88"/>
      <c r="W28" s="88"/>
      <c r="X28" s="88"/>
      <c r="Y28" s="88"/>
      <c r="Z28" s="87"/>
      <c r="AA28" s="88"/>
      <c r="AB28" s="88"/>
      <c r="AC28" s="88"/>
      <c r="AD28" s="88"/>
      <c r="AE28" s="88"/>
      <c r="AF28" s="88"/>
      <c r="AG28" s="123"/>
      <c r="AH28" s="89"/>
      <c r="AI28" s="14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5"/>
      <c r="AT28" s="130"/>
      <c r="AU28" s="130"/>
      <c r="AV28" s="130"/>
      <c r="AW28" s="90"/>
      <c r="AX28" s="90"/>
      <c r="AY28" s="90"/>
    </row>
    <row r="29" spans="1:51">
      <c r="A29" s="84"/>
      <c r="B29" s="85"/>
      <c r="C29" s="80"/>
      <c r="D29" s="111"/>
      <c r="E29" s="86"/>
      <c r="F29" s="118"/>
      <c r="G29" s="92"/>
      <c r="H29" s="92"/>
      <c r="I29" s="108"/>
      <c r="J29" s="93"/>
      <c r="K29" s="117"/>
      <c r="L29" s="114"/>
      <c r="M29" s="114"/>
      <c r="N29" s="114"/>
      <c r="O29" s="114"/>
      <c r="P29" s="116"/>
      <c r="Q29" s="87"/>
      <c r="R29" s="88"/>
      <c r="S29" s="88"/>
      <c r="T29" s="88"/>
      <c r="U29" s="88"/>
      <c r="V29" s="88"/>
      <c r="W29" s="88"/>
      <c r="X29" s="88"/>
      <c r="Y29" s="88"/>
      <c r="Z29" s="87"/>
      <c r="AA29" s="88"/>
      <c r="AB29" s="88"/>
      <c r="AC29" s="88"/>
      <c r="AD29" s="88"/>
      <c r="AE29" s="88"/>
      <c r="AF29" s="88"/>
      <c r="AG29" s="123"/>
      <c r="AH29" s="89"/>
      <c r="AI29" s="14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5"/>
      <c r="AT29" s="130"/>
      <c r="AU29" s="130"/>
      <c r="AV29" s="130"/>
      <c r="AW29" s="90"/>
      <c r="AX29" s="90"/>
      <c r="AY29" s="90"/>
    </row>
    <row r="30" spans="1:51">
      <c r="A30" s="84"/>
      <c r="B30" s="85"/>
      <c r="C30" s="80"/>
      <c r="D30" s="111"/>
      <c r="E30" s="86"/>
      <c r="F30" s="118"/>
      <c r="G30" s="92"/>
      <c r="H30" s="92"/>
      <c r="I30" s="108"/>
      <c r="J30" s="93"/>
      <c r="K30" s="117"/>
      <c r="L30" s="114"/>
      <c r="M30" s="114"/>
      <c r="N30" s="114"/>
      <c r="O30" s="114"/>
      <c r="P30" s="116"/>
      <c r="Q30" s="87"/>
      <c r="R30" s="88"/>
      <c r="S30" s="88"/>
      <c r="T30" s="88"/>
      <c r="U30" s="88"/>
      <c r="V30" s="88"/>
      <c r="W30" s="88"/>
      <c r="X30" s="88"/>
      <c r="Y30" s="88"/>
      <c r="Z30" s="87"/>
      <c r="AA30" s="88"/>
      <c r="AB30" s="88"/>
      <c r="AC30" s="88"/>
      <c r="AD30" s="88"/>
      <c r="AE30" s="88"/>
      <c r="AF30" s="88"/>
      <c r="AG30" s="123"/>
      <c r="AH30" s="89"/>
      <c r="AI30" s="14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5"/>
      <c r="AT30" s="130"/>
      <c r="AU30" s="130"/>
      <c r="AV30" s="130"/>
      <c r="AW30" s="90"/>
      <c r="AX30" s="90"/>
      <c r="AY30" s="90"/>
    </row>
    <row r="31" spans="1:51" ht="28.5" customHeight="1">
      <c r="A31" s="95"/>
      <c r="B31" s="96" t="s">
        <v>36</v>
      </c>
      <c r="C31" s="96"/>
      <c r="D31" s="97"/>
      <c r="E31" s="98"/>
      <c r="F31" s="98"/>
      <c r="G31" s="99"/>
      <c r="H31" s="99"/>
      <c r="I31" s="100"/>
      <c r="J31" s="98"/>
      <c r="K31" s="82">
        <f t="shared" ref="K31:AM31" si="11">SUM(K3:K21)</f>
        <v>221298.14</v>
      </c>
      <c r="L31" s="82">
        <f t="shared" si="11"/>
        <v>6923.9999999999973</v>
      </c>
      <c r="M31" s="82">
        <f t="shared" si="11"/>
        <v>1795.5199999999993</v>
      </c>
      <c r="N31" s="82">
        <f t="shared" si="11"/>
        <v>432.74999999999983</v>
      </c>
      <c r="O31" s="82">
        <f t="shared" si="11"/>
        <v>7341</v>
      </c>
      <c r="P31" s="82">
        <f t="shared" si="11"/>
        <v>16493.269999999997</v>
      </c>
      <c r="Q31" s="82">
        <f t="shared" si="11"/>
        <v>0</v>
      </c>
      <c r="R31" s="82">
        <f t="shared" si="11"/>
        <v>221298.14</v>
      </c>
      <c r="S31" s="82">
        <f t="shared" si="11"/>
        <v>95000</v>
      </c>
      <c r="T31" s="82">
        <f t="shared" si="11"/>
        <v>16493.269999999997</v>
      </c>
      <c r="U31" s="82">
        <f t="shared" si="11"/>
        <v>1000</v>
      </c>
      <c r="V31" s="82">
        <f t="shared" si="11"/>
        <v>0</v>
      </c>
      <c r="W31" s="82">
        <f t="shared" si="11"/>
        <v>1000</v>
      </c>
      <c r="X31" s="82">
        <f t="shared" si="11"/>
        <v>4500</v>
      </c>
      <c r="Y31" s="82">
        <f t="shared" si="11"/>
        <v>1000</v>
      </c>
      <c r="Z31" s="82">
        <f t="shared" si="11"/>
        <v>0</v>
      </c>
      <c r="AA31" s="82">
        <f t="shared" si="11"/>
        <v>7500</v>
      </c>
      <c r="AB31" s="82">
        <f t="shared" si="11"/>
        <v>0</v>
      </c>
      <c r="AC31" s="82">
        <f t="shared" si="11"/>
        <v>111701.85</v>
      </c>
      <c r="AD31" s="82">
        <f t="shared" si="11"/>
        <v>3351.09</v>
      </c>
      <c r="AE31" s="82">
        <f t="shared" si="11"/>
        <v>0</v>
      </c>
      <c r="AF31" s="82">
        <f t="shared" si="11"/>
        <v>3351.09</v>
      </c>
      <c r="AG31" s="124">
        <f t="shared" si="11"/>
        <v>201453.77999999997</v>
      </c>
      <c r="AH31" s="82">
        <f t="shared" si="11"/>
        <v>0</v>
      </c>
      <c r="AI31" s="145">
        <f t="shared" si="11"/>
        <v>201453.77999999997</v>
      </c>
      <c r="AJ31" s="82">
        <f t="shared" si="11"/>
        <v>3330</v>
      </c>
      <c r="AK31" s="82">
        <f t="shared" si="11"/>
        <v>4288</v>
      </c>
      <c r="AL31" s="82">
        <f t="shared" si="11"/>
        <v>2626.3999999999996</v>
      </c>
      <c r="AM31" s="82">
        <f t="shared" si="11"/>
        <v>134</v>
      </c>
      <c r="AN31" s="82"/>
      <c r="AO31" s="82">
        <f>SUM(AO3:AO21)</f>
        <v>2344</v>
      </c>
      <c r="AP31" s="82">
        <f>SUM(AP3:AP21)</f>
        <v>9446</v>
      </c>
      <c r="AQ31" s="82">
        <f t="shared" ref="AQ31:AR31" si="12">SUM(AQ3:AQ21)</f>
        <v>36</v>
      </c>
      <c r="AR31" s="82">
        <f t="shared" si="12"/>
        <v>234110.14</v>
      </c>
      <c r="AS31" s="115">
        <v>6.7199999999999996E-2</v>
      </c>
      <c r="AT31" s="131"/>
      <c r="AU31" s="131"/>
      <c r="AV31" s="131"/>
      <c r="AW31" s="98"/>
      <c r="AX31" s="98"/>
      <c r="AY31" s="101"/>
    </row>
    <row r="34" spans="1:5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83"/>
      <c r="AD34" s="105"/>
      <c r="AE34" s="105"/>
      <c r="AF34" s="105"/>
      <c r="AG34" s="12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32"/>
      <c r="AU34" s="132"/>
      <c r="AV34" s="132"/>
      <c r="AW34" s="105"/>
      <c r="AX34" s="105"/>
      <c r="AY34" s="105"/>
    </row>
  </sheetData>
  <autoFilter ref="A2:AY31"/>
  <mergeCells count="46">
    <mergeCell ref="R1:R2"/>
    <mergeCell ref="S1:S2"/>
    <mergeCell ref="T1:T2"/>
    <mergeCell ref="Q1:Q2"/>
    <mergeCell ref="K1:K2"/>
    <mergeCell ref="L1:L2"/>
    <mergeCell ref="M1:M2"/>
    <mergeCell ref="J1:J2"/>
    <mergeCell ref="P1:P2"/>
    <mergeCell ref="H1:H2"/>
    <mergeCell ref="N1:N2"/>
    <mergeCell ref="O1:O2"/>
    <mergeCell ref="E1:E2"/>
    <mergeCell ref="G1:G2"/>
    <mergeCell ref="I1:I2"/>
    <mergeCell ref="A1:A2"/>
    <mergeCell ref="B1:B2"/>
    <mergeCell ref="C1:C2"/>
    <mergeCell ref="D1:D2"/>
    <mergeCell ref="F1:F2"/>
    <mergeCell ref="AW1:AW2"/>
    <mergeCell ref="AX1:AX2"/>
    <mergeCell ref="AY1:AY2"/>
    <mergeCell ref="AT1:AT2"/>
    <mergeCell ref="AU1:AU2"/>
    <mergeCell ref="AV1:AV2"/>
    <mergeCell ref="U1:Z1"/>
    <mergeCell ref="AB1:AB2"/>
    <mergeCell ref="AC1:AC2"/>
    <mergeCell ref="AD1:AD2"/>
    <mergeCell ref="AE1:AE2"/>
    <mergeCell ref="AA1:AA2"/>
    <mergeCell ref="AQ1:AQ2"/>
    <mergeCell ref="AF1:AF2"/>
    <mergeCell ref="AM1:AM2"/>
    <mergeCell ref="AO1:AO2"/>
    <mergeCell ref="AS1:AS2"/>
    <mergeCell ref="AJ1:AJ2"/>
    <mergeCell ref="AK1:AK2"/>
    <mergeCell ref="AL1:AL2"/>
    <mergeCell ref="AG1:AG2"/>
    <mergeCell ref="AH1:AH2"/>
    <mergeCell ref="AI1:AI2"/>
    <mergeCell ref="AP1:AP2"/>
    <mergeCell ref="AN1:AN2"/>
    <mergeCell ref="AR1:AR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3"/>
  <sheetViews>
    <sheetView tabSelected="1" workbookViewId="0">
      <selection activeCell="I24" sqref="I24"/>
    </sheetView>
  </sheetViews>
  <sheetFormatPr defaultRowHeight="20.25" customHeight="1"/>
  <cols>
    <col min="1" max="1" width="9" style="56"/>
    <col min="2" max="2" width="6.75" style="56" bestFit="1" customWidth="1"/>
    <col min="3" max="3" width="15.5" style="56" customWidth="1"/>
    <col min="4" max="4" width="7.375" style="56" customWidth="1"/>
    <col min="5" max="5" width="11.375" style="56" bestFit="1" customWidth="1"/>
    <col min="6" max="9" width="7.375" style="69" customWidth="1"/>
    <col min="10" max="10" width="8.875" style="69" customWidth="1"/>
    <col min="11" max="20" width="7.375" style="56" customWidth="1"/>
    <col min="21" max="16384" width="9" style="56"/>
  </cols>
  <sheetData>
    <row r="1" spans="1:28" ht="20.25" customHeight="1">
      <c r="A1" s="48" t="s">
        <v>143</v>
      </c>
      <c r="B1" s="49" t="s">
        <v>0</v>
      </c>
      <c r="C1" s="42" t="s">
        <v>136</v>
      </c>
      <c r="D1" s="42" t="s">
        <v>144</v>
      </c>
      <c r="E1" s="50" t="s">
        <v>153</v>
      </c>
      <c r="F1" s="51" t="s">
        <v>137</v>
      </c>
      <c r="G1" s="51" t="s">
        <v>138</v>
      </c>
      <c r="H1" s="51" t="s">
        <v>139</v>
      </c>
      <c r="I1" s="51" t="s">
        <v>140</v>
      </c>
      <c r="J1" s="51" t="s">
        <v>141</v>
      </c>
      <c r="K1" s="52" t="s">
        <v>75</v>
      </c>
      <c r="L1" s="52" t="s">
        <v>31</v>
      </c>
      <c r="M1" s="52" t="s">
        <v>76</v>
      </c>
      <c r="N1" s="52" t="s">
        <v>33</v>
      </c>
      <c r="O1" s="52" t="s">
        <v>77</v>
      </c>
      <c r="P1" s="70" t="s">
        <v>78</v>
      </c>
      <c r="Q1" s="70" t="s">
        <v>32</v>
      </c>
      <c r="R1" s="70" t="s">
        <v>80</v>
      </c>
      <c r="S1" s="53" t="s">
        <v>81</v>
      </c>
      <c r="T1" s="53" t="s">
        <v>34</v>
      </c>
      <c r="U1" s="54"/>
      <c r="V1" s="55"/>
      <c r="W1" s="55"/>
      <c r="X1" s="55"/>
      <c r="Y1" s="55"/>
      <c r="Z1" s="55"/>
      <c r="AA1" s="55"/>
      <c r="AB1" s="55"/>
    </row>
    <row r="2" spans="1:28" ht="20.25" customHeight="1">
      <c r="A2" s="71" t="s">
        <v>67</v>
      </c>
      <c r="B2" s="72" t="s">
        <v>3</v>
      </c>
      <c r="C2" s="46" t="s">
        <v>6</v>
      </c>
      <c r="D2" s="46" t="s">
        <v>69</v>
      </c>
      <c r="E2" s="40">
        <v>44562</v>
      </c>
      <c r="F2" s="73">
        <v>5360</v>
      </c>
      <c r="G2" s="73">
        <v>5360</v>
      </c>
      <c r="H2" s="73">
        <v>5360</v>
      </c>
      <c r="I2" s="73">
        <v>5360</v>
      </c>
      <c r="J2" s="73">
        <v>9000</v>
      </c>
      <c r="K2" s="58">
        <f>ROUND(F2*(VLOOKUP($D2,缴费比例!$B:$N,MATCH(K$1,缴费比例!$B$1:$N$1,0),FALSE)),2)</f>
        <v>857.6</v>
      </c>
      <c r="L2" s="58">
        <f>ROUND(F2*(VLOOKUP($D2,缴费比例!$B:$N,MATCH(L$1,缴费比例!$B$1:$N$1,0),FALSE)),2)</f>
        <v>428.8</v>
      </c>
      <c r="M2" s="58">
        <f>ROUND(G2*(VLOOKUP($D2,缴费比例!$B:$N,MATCH(M$1,缴费比例!$B$1:$N$1,0),FALSE)),2)</f>
        <v>26.8</v>
      </c>
      <c r="N2" s="58">
        <f>ROUND(G2*(VLOOKUP($D2,缴费比例!$B:$N,MATCH(N$1,缴费比例!$B$1:$N$1,0),FALSE)),2)</f>
        <v>26.8</v>
      </c>
      <c r="O2" s="58">
        <f>ROUND(H2*(VLOOKUP($D2,缴费比例!$B:$N,MATCH(O$1,缴费比例!$B$1:$N$1,0),FALSE)),2)</f>
        <v>10.72</v>
      </c>
      <c r="P2" s="58">
        <f>ROUND(I2*(VLOOKUP($D2,缴费比例!$B:$N,MATCH(P$1,缴费比例!$B$1:$N$1,0),FALSE)),2)</f>
        <v>525.28</v>
      </c>
      <c r="Q2" s="58">
        <f>ROUND(I2*(VLOOKUP($D2,缴费比例!$B:$N,MATCH(Q$1,缴费比例!$B$1:$N$1,0),FALSE)),2)</f>
        <v>107.2</v>
      </c>
      <c r="R2" s="58">
        <f>ROUND((VLOOKUP($D2,缴费比例!$B:$N,MATCH(R$1,缴费比例!$B$1:$N$1,0),FALSE)),2)</f>
        <v>3</v>
      </c>
      <c r="S2" s="58">
        <f>ROUND(J2*(VLOOKUP($D2,缴费比例!$B:$N,MATCH(S$1,缴费比例!$B$1:$N$1,0),FALSE)),0)</f>
        <v>1080</v>
      </c>
      <c r="T2" s="58">
        <f>ROUND(J2*(VLOOKUP($D2,缴费比例!$B:$N,MATCH(T$1,缴费比例!$B$1:$N$1,0),FALSE)),0)</f>
        <v>1080</v>
      </c>
      <c r="U2" s="61"/>
      <c r="V2" s="62"/>
      <c r="W2" s="62"/>
      <c r="X2" s="63"/>
      <c r="Y2" s="63"/>
      <c r="Z2" s="63"/>
      <c r="AA2" s="64"/>
      <c r="AB2" s="63"/>
    </row>
    <row r="3" spans="1:28" ht="20.25" customHeight="1">
      <c r="A3" s="71" t="s">
        <v>67</v>
      </c>
      <c r="B3" s="72" t="s">
        <v>165</v>
      </c>
      <c r="C3" s="46" t="s">
        <v>37</v>
      </c>
      <c r="D3" s="46" t="s">
        <v>69</v>
      </c>
      <c r="E3" s="40">
        <v>44562</v>
      </c>
      <c r="F3" s="73">
        <v>5360</v>
      </c>
      <c r="G3" s="73">
        <v>5360</v>
      </c>
      <c r="H3" s="73">
        <v>5360</v>
      </c>
      <c r="I3" s="73">
        <v>5360</v>
      </c>
      <c r="J3" s="73">
        <v>2636</v>
      </c>
      <c r="K3" s="58">
        <f>ROUND(F3*(VLOOKUP($D3,缴费比例!B:N,MATCH(K$1,缴费比例!$B$1:$N$1,0),FALSE)),2)</f>
        <v>857.6</v>
      </c>
      <c r="L3" s="58">
        <f>ROUND(F3*(VLOOKUP($D3,缴费比例!$B:$N,MATCH(L$1,缴费比例!$B$1:$N$1,0),FALSE)),2)</f>
        <v>428.8</v>
      </c>
      <c r="M3" s="58">
        <f>ROUND(G3*(VLOOKUP($D3,缴费比例!$B:$N,MATCH(M$1,缴费比例!$B$1:$N$1,0),FALSE)),2)</f>
        <v>26.8</v>
      </c>
      <c r="N3" s="58">
        <f>ROUND(G3*(VLOOKUP($D3,缴费比例!$B:$N,MATCH(N$1,缴费比例!$B$1:$N$1,0),FALSE)),2)</f>
        <v>26.8</v>
      </c>
      <c r="O3" s="58">
        <f>ROUND(H3*(VLOOKUP($D3,缴费比例!$B:$N,MATCH(O$1,缴费比例!$B$1:$N$1,0),FALSE)),2)</f>
        <v>10.72</v>
      </c>
      <c r="P3" s="58">
        <f>ROUND(I3*(VLOOKUP($D3,缴费比例!$B:$N,MATCH(P$1,缴费比例!$B$1:$N$1,0),FALSE)),2)</f>
        <v>525.28</v>
      </c>
      <c r="Q3" s="58">
        <f>ROUND(I3*(VLOOKUP($D3,缴费比例!$B:$N,MATCH(Q$1,缴费比例!$B$1:$N$1,0),FALSE)),2)</f>
        <v>107.2</v>
      </c>
      <c r="R3" s="58">
        <f>ROUND((VLOOKUP($D3,缴费比例!$B:$N,MATCH(R$1,缴费比例!$B$1:$N$1,0),FALSE)),2)</f>
        <v>3</v>
      </c>
      <c r="S3" s="58">
        <f>ROUND(J3*(VLOOKUP($D3,缴费比例!$B:$N,MATCH(S$1,缴费比例!$B$1:$N$1,0),FALSE)),0)</f>
        <v>316</v>
      </c>
      <c r="T3" s="58">
        <f>ROUND(J3*(VLOOKUP($D3,缴费比例!$B:$N,MATCH(T$1,缴费比例!$B$1:$N$1,0),FALSE)),0)</f>
        <v>316</v>
      </c>
      <c r="U3" s="61"/>
      <c r="V3" s="62"/>
      <c r="W3" s="62"/>
      <c r="X3" s="63"/>
      <c r="Y3" s="63"/>
      <c r="Z3" s="63"/>
      <c r="AA3" s="63"/>
      <c r="AB3" s="64"/>
    </row>
    <row r="4" spans="1:28" ht="20.25" customHeight="1">
      <c r="A4" s="71" t="s">
        <v>67</v>
      </c>
      <c r="B4" s="74" t="s">
        <v>38</v>
      </c>
      <c r="C4" s="46" t="s">
        <v>39</v>
      </c>
      <c r="D4" s="46" t="s">
        <v>69</v>
      </c>
      <c r="E4" s="40">
        <v>44562</v>
      </c>
      <c r="F4" s="73">
        <v>5360</v>
      </c>
      <c r="G4" s="73">
        <v>5360</v>
      </c>
      <c r="H4" s="73">
        <v>5360</v>
      </c>
      <c r="I4" s="73">
        <v>5360</v>
      </c>
      <c r="J4" s="73">
        <v>2636</v>
      </c>
      <c r="K4" s="58">
        <f>ROUND(F4*(VLOOKUP($D4,缴费比例!B:N,MATCH(K$1,缴费比例!$B$1:$N$1,0),FALSE)),2)</f>
        <v>857.6</v>
      </c>
      <c r="L4" s="58">
        <f>ROUND(F4*(VLOOKUP($D4,缴费比例!$B:$N,MATCH(L$1,缴费比例!$B$1:$N$1,0),FALSE)),2)</f>
        <v>428.8</v>
      </c>
      <c r="M4" s="58">
        <f>ROUND(G4*(VLOOKUP($D4,缴费比例!$B:$N,MATCH(M$1,缴费比例!$B$1:$N$1,0),FALSE)),2)</f>
        <v>26.8</v>
      </c>
      <c r="N4" s="58">
        <f>ROUND(G4*(VLOOKUP($D4,缴费比例!$B:$N,MATCH(N$1,缴费比例!$B$1:$N$1,0),FALSE)),2)</f>
        <v>26.8</v>
      </c>
      <c r="O4" s="58">
        <f>ROUND(H4*(VLOOKUP($D4,缴费比例!$B:$N,MATCH(O$1,缴费比例!$B$1:$N$1,0),FALSE)),2)</f>
        <v>10.72</v>
      </c>
      <c r="P4" s="58">
        <f>ROUND(I4*(VLOOKUP($D4,缴费比例!$B:$N,MATCH(P$1,缴费比例!$B$1:$N$1,0),FALSE)),2)</f>
        <v>525.28</v>
      </c>
      <c r="Q4" s="58">
        <f>ROUND(I4*(VLOOKUP($D4,缴费比例!$B:$N,MATCH(Q$1,缴费比例!$B$1:$N$1,0),FALSE)),2)</f>
        <v>107.2</v>
      </c>
      <c r="R4" s="58">
        <f>ROUND((VLOOKUP($D4,缴费比例!$B:$N,MATCH(R$1,缴费比例!$B$1:$N$1,0),FALSE)),2)</f>
        <v>3</v>
      </c>
      <c r="S4" s="58">
        <f>ROUND(J4*(VLOOKUP($D4,缴费比例!$B:$N,MATCH(S$1,缴费比例!$B$1:$N$1,0),FALSE)),0)</f>
        <v>316</v>
      </c>
      <c r="T4" s="58">
        <f>ROUND(J4*(VLOOKUP($D4,缴费比例!$B:$N,MATCH(T$1,缴费比例!$B$1:$N$1,0),FALSE)),0)</f>
        <v>316</v>
      </c>
      <c r="U4" s="61"/>
      <c r="V4" s="62"/>
      <c r="W4" s="62"/>
      <c r="X4" s="63"/>
      <c r="Y4" s="63"/>
      <c r="Z4" s="63"/>
      <c r="AA4" s="63"/>
      <c r="AB4" s="64"/>
    </row>
    <row r="5" spans="1:28" ht="20.25" customHeight="1">
      <c r="A5" s="71" t="s">
        <v>67</v>
      </c>
      <c r="B5" s="74" t="s">
        <v>2</v>
      </c>
      <c r="C5" s="75" t="s">
        <v>5</v>
      </c>
      <c r="D5" s="46" t="s">
        <v>69</v>
      </c>
      <c r="E5" s="40">
        <v>44562</v>
      </c>
      <c r="F5" s="73">
        <v>5360</v>
      </c>
      <c r="G5" s="73">
        <v>5360</v>
      </c>
      <c r="H5" s="73">
        <v>5360</v>
      </c>
      <c r="I5" s="73">
        <v>5360</v>
      </c>
      <c r="J5" s="73">
        <v>2636</v>
      </c>
      <c r="K5" s="58">
        <f>ROUND(F5*(VLOOKUP($D5,缴费比例!B:N,MATCH(K$1,缴费比例!$B$1:$N$1,0),FALSE)),2)</f>
        <v>857.6</v>
      </c>
      <c r="L5" s="58">
        <f>ROUND(F5*(VLOOKUP($D5,缴费比例!$B:$N,MATCH(L$1,缴费比例!$B$1:$N$1,0),FALSE)),2)</f>
        <v>428.8</v>
      </c>
      <c r="M5" s="58">
        <f>ROUND(G5*(VLOOKUP($D5,缴费比例!$B:$N,MATCH(M$1,缴费比例!$B$1:$N$1,0),FALSE)),2)</f>
        <v>26.8</v>
      </c>
      <c r="N5" s="58">
        <f>ROUND(G5*(VLOOKUP($D5,缴费比例!$B:$N,MATCH(N$1,缴费比例!$B$1:$N$1,0),FALSE)),2)</f>
        <v>26.8</v>
      </c>
      <c r="O5" s="58">
        <f>ROUND(H5*(VLOOKUP($D5,缴费比例!$B:$N,MATCH(O$1,缴费比例!$B$1:$N$1,0),FALSE)),2)</f>
        <v>10.72</v>
      </c>
      <c r="P5" s="58">
        <f>ROUND(I5*(VLOOKUP($D5,缴费比例!$B:$N,MATCH(P$1,缴费比例!$B$1:$N$1,0),FALSE)),2)</f>
        <v>525.28</v>
      </c>
      <c r="Q5" s="58">
        <f>ROUND(I5*(VLOOKUP($D5,缴费比例!$B:$N,MATCH(Q$1,缴费比例!$B$1:$N$1,0),FALSE)),2)</f>
        <v>107.2</v>
      </c>
      <c r="R5" s="58">
        <f>ROUND((VLOOKUP($D5,缴费比例!$B:$N,MATCH(R$1,缴费比例!$B$1:$N$1,0),FALSE)),2)</f>
        <v>3</v>
      </c>
      <c r="S5" s="58">
        <f>ROUND(J5*(VLOOKUP($D5,缴费比例!$B:$N,MATCH(S$1,缴费比例!$B$1:$N$1,0),FALSE)),0)</f>
        <v>316</v>
      </c>
      <c r="T5" s="58">
        <f>ROUND(J5*(VLOOKUP($D5,缴费比例!$B:$N,MATCH(T$1,缴费比例!$B$1:$N$1,0),FALSE)),0)</f>
        <v>316</v>
      </c>
      <c r="U5" s="61"/>
      <c r="V5" s="62"/>
      <c r="W5" s="62"/>
      <c r="X5" s="63"/>
      <c r="Y5" s="63"/>
      <c r="Z5" s="63"/>
      <c r="AA5" s="63"/>
      <c r="AB5" s="64"/>
    </row>
    <row r="6" spans="1:28" ht="20.25" customHeight="1">
      <c r="A6" s="71" t="s">
        <v>67</v>
      </c>
      <c r="B6" s="72" t="s">
        <v>1</v>
      </c>
      <c r="C6" s="75" t="s">
        <v>4</v>
      </c>
      <c r="D6" s="46" t="s">
        <v>69</v>
      </c>
      <c r="E6" s="40">
        <v>44562</v>
      </c>
      <c r="F6" s="73">
        <v>5360</v>
      </c>
      <c r="G6" s="73">
        <v>5360</v>
      </c>
      <c r="H6" s="73">
        <v>5360</v>
      </c>
      <c r="I6" s="73">
        <v>5360</v>
      </c>
      <c r="J6" s="73">
        <v>2636</v>
      </c>
      <c r="K6" s="58">
        <f>ROUND(F6*(VLOOKUP($D6,缴费比例!B:N,MATCH(K$1,缴费比例!$B$1:$N$1,0),FALSE)),2)</f>
        <v>857.6</v>
      </c>
      <c r="L6" s="58">
        <f>ROUND(F6*(VLOOKUP($D6,缴费比例!$B:$N,MATCH(L$1,缴费比例!$B$1:$N$1,0),FALSE)),2)</f>
        <v>428.8</v>
      </c>
      <c r="M6" s="58">
        <f>ROUND(G6*(VLOOKUP($D6,缴费比例!$B:$N,MATCH(M$1,缴费比例!$B$1:$N$1,0),FALSE)),2)</f>
        <v>26.8</v>
      </c>
      <c r="N6" s="58">
        <f>ROUND(G6*(VLOOKUP($D6,缴费比例!$B:$N,MATCH(N$1,缴费比例!$B$1:$N$1,0),FALSE)),2)</f>
        <v>26.8</v>
      </c>
      <c r="O6" s="58">
        <f>ROUND(H6*(VLOOKUP($D6,缴费比例!$B:$N,MATCH(O$1,缴费比例!$B$1:$N$1,0),FALSE)),2)</f>
        <v>10.72</v>
      </c>
      <c r="P6" s="58">
        <f>ROUND(I6*(VLOOKUP($D6,缴费比例!$B:$N,MATCH(P$1,缴费比例!$B$1:$N$1,0),FALSE)),2)</f>
        <v>525.28</v>
      </c>
      <c r="Q6" s="58">
        <f>ROUND(I6*(VLOOKUP($D6,缴费比例!$B:$N,MATCH(Q$1,缴费比例!$B$1:$N$1,0),FALSE)),2)</f>
        <v>107.2</v>
      </c>
      <c r="R6" s="58">
        <f>ROUND((VLOOKUP($D6,缴费比例!$B:$N,MATCH(R$1,缴费比例!$B$1:$N$1,0),FALSE)),2)</f>
        <v>3</v>
      </c>
      <c r="S6" s="58">
        <f>ROUND(J6*(VLOOKUP($D6,缴费比例!$B:$N,MATCH(S$1,缴费比例!$B$1:$N$1,0),FALSE)),0)</f>
        <v>316</v>
      </c>
      <c r="T6" s="58">
        <f>ROUND(J6*(VLOOKUP($D6,缴费比例!$B:$N,MATCH(T$1,缴费比例!$B$1:$N$1,0),FALSE)),0)</f>
        <v>316</v>
      </c>
      <c r="U6" s="61"/>
      <c r="V6" s="62"/>
      <c r="W6" s="62"/>
      <c r="X6" s="63"/>
      <c r="Y6" s="63"/>
      <c r="Z6" s="63"/>
      <c r="AA6" s="63"/>
      <c r="AB6" s="63"/>
    </row>
    <row r="7" spans="1:28" ht="20.25" hidden="1" customHeight="1">
      <c r="A7" s="71" t="s">
        <v>67</v>
      </c>
      <c r="B7" s="76" t="s">
        <v>40</v>
      </c>
      <c r="C7" s="77" t="s">
        <v>41</v>
      </c>
      <c r="D7" s="46" t="s">
        <v>69</v>
      </c>
      <c r="E7" s="40">
        <v>44593</v>
      </c>
      <c r="F7" s="73">
        <v>5360</v>
      </c>
      <c r="G7" s="73">
        <v>5360</v>
      </c>
      <c r="H7" s="73">
        <v>5360</v>
      </c>
      <c r="I7" s="73">
        <v>5360</v>
      </c>
      <c r="J7" s="73">
        <v>3800</v>
      </c>
      <c r="K7" s="58">
        <f>ROUND(F7*(VLOOKUP($D7,缴费比例!B:N,MATCH(K$1,缴费比例!$B$1:$N$1,0),FALSE)),2)</f>
        <v>857.6</v>
      </c>
      <c r="L7" s="58">
        <f>ROUND(F7*(VLOOKUP($D7,缴费比例!$B:$N,MATCH(L$1,缴费比例!$B$1:$N$1,0),FALSE)),2)</f>
        <v>428.8</v>
      </c>
      <c r="M7" s="58">
        <f>ROUND(G7*(VLOOKUP($D7,缴费比例!$B:$N,MATCH(M$1,缴费比例!$B$1:$N$1,0),FALSE)),2)</f>
        <v>26.8</v>
      </c>
      <c r="N7" s="58">
        <f>ROUND(G7*(VLOOKUP($D7,缴费比例!$B:$N,MATCH(N$1,缴费比例!$B$1:$N$1,0),FALSE)),2)</f>
        <v>26.8</v>
      </c>
      <c r="O7" s="58">
        <f>ROUND(H7*(VLOOKUP($D7,缴费比例!$B:$N,MATCH(O$1,缴费比例!$B$1:$N$1,0),FALSE)),2)</f>
        <v>10.72</v>
      </c>
      <c r="P7" s="58">
        <f>ROUND(I7*(VLOOKUP($D7,缴费比例!$B:$N,MATCH(P$1,缴费比例!$B$1:$N$1,0),FALSE)),2)</f>
        <v>525.28</v>
      </c>
      <c r="Q7" s="58">
        <f>ROUND(I7*(VLOOKUP($D7,缴费比例!$B:$N,MATCH(Q$1,缴费比例!$B$1:$N$1,0),FALSE)),2)</f>
        <v>107.2</v>
      </c>
      <c r="R7" s="58">
        <f>ROUND((VLOOKUP($D7,缴费比例!$B:$N,MATCH(R$1,缴费比例!$B$1:$N$1,0),FALSE)),2)</f>
        <v>3</v>
      </c>
      <c r="S7" s="58">
        <f>ROUND(J7*(VLOOKUP($D7,缴费比例!$B:$N,MATCH(S$1,缴费比例!$B$1:$N$1,0),FALSE)),0)</f>
        <v>456</v>
      </c>
      <c r="T7" s="58">
        <f>ROUND(J7*(VLOOKUP($D7,缴费比例!$B:$N,MATCH(T$1,缴费比例!$B$1:$N$1,0),FALSE)),0)</f>
        <v>456</v>
      </c>
      <c r="U7" s="41"/>
      <c r="V7" s="62"/>
      <c r="W7" s="62"/>
      <c r="X7" s="41"/>
      <c r="Y7" s="41"/>
      <c r="Z7" s="41"/>
      <c r="AA7" s="41"/>
      <c r="AB7" s="41"/>
    </row>
    <row r="8" spans="1:28" ht="20.25" hidden="1" customHeight="1">
      <c r="A8" s="71" t="s">
        <v>67</v>
      </c>
      <c r="B8" s="76" t="s">
        <v>42</v>
      </c>
      <c r="C8" s="77" t="s">
        <v>43</v>
      </c>
      <c r="D8" s="46" t="s">
        <v>69</v>
      </c>
      <c r="E8" s="40">
        <v>44593</v>
      </c>
      <c r="F8" s="73">
        <v>5360</v>
      </c>
      <c r="G8" s="73">
        <v>5360</v>
      </c>
      <c r="H8" s="73">
        <v>5360</v>
      </c>
      <c r="I8" s="73">
        <v>5360</v>
      </c>
      <c r="J8" s="73">
        <v>3800</v>
      </c>
      <c r="K8" s="58">
        <f>ROUND(F8*(VLOOKUP($D8,缴费比例!B:N,MATCH(K$1,缴费比例!$B$1:$N$1,0),FALSE)),2)</f>
        <v>857.6</v>
      </c>
      <c r="L8" s="58">
        <f>ROUND(F8*(VLOOKUP($D8,缴费比例!$B:$N,MATCH(L$1,缴费比例!$B$1:$N$1,0),FALSE)),2)</f>
        <v>428.8</v>
      </c>
      <c r="M8" s="58">
        <f>ROUND(G8*(VLOOKUP($D8,缴费比例!$B:$N,MATCH(M$1,缴费比例!$B$1:$N$1,0),FALSE)),2)</f>
        <v>26.8</v>
      </c>
      <c r="N8" s="58">
        <f>ROUND(G8*(VLOOKUP($D8,缴费比例!$B:$N,MATCH(N$1,缴费比例!$B$1:$N$1,0),FALSE)),2)</f>
        <v>26.8</v>
      </c>
      <c r="O8" s="58">
        <f>ROUND(H8*(VLOOKUP($D8,缴费比例!$B:$N,MATCH(O$1,缴费比例!$B$1:$N$1,0),FALSE)),2)</f>
        <v>10.72</v>
      </c>
      <c r="P8" s="58">
        <f>ROUND(I8*(VLOOKUP($D8,缴费比例!$B:$N,MATCH(P$1,缴费比例!$B$1:$N$1,0),FALSE)),2)</f>
        <v>525.28</v>
      </c>
      <c r="Q8" s="58">
        <f>ROUND(I8*(VLOOKUP($D8,缴费比例!$B:$N,MATCH(Q$1,缴费比例!$B$1:$N$1,0),FALSE)),2)</f>
        <v>107.2</v>
      </c>
      <c r="R8" s="58">
        <f>ROUND((VLOOKUP($D8,缴费比例!$B:$N,MATCH(R$1,缴费比例!$B$1:$N$1,0),FALSE)),2)</f>
        <v>3</v>
      </c>
      <c r="S8" s="58">
        <f>ROUND(J8*(VLOOKUP($D8,缴费比例!$B:$N,MATCH(S$1,缴费比例!$B$1:$N$1,0),FALSE)),0)</f>
        <v>456</v>
      </c>
      <c r="T8" s="58">
        <f>ROUND(J8*(VLOOKUP($D8,缴费比例!$B:$N,MATCH(T$1,缴费比例!$B$1:$N$1,0),FALSE)),0)</f>
        <v>456</v>
      </c>
      <c r="U8" s="61"/>
      <c r="V8" s="62"/>
      <c r="W8" s="62"/>
      <c r="X8" s="63"/>
      <c r="Y8" s="63"/>
      <c r="Z8" s="63"/>
      <c r="AA8" s="64"/>
      <c r="AB8" s="63"/>
    </row>
    <row r="9" spans="1:28" ht="20.25" hidden="1" customHeight="1">
      <c r="A9" s="71" t="s">
        <v>67</v>
      </c>
      <c r="B9" s="76" t="s">
        <v>164</v>
      </c>
      <c r="C9" s="77" t="s">
        <v>44</v>
      </c>
      <c r="D9" s="46" t="s">
        <v>69</v>
      </c>
      <c r="E9" s="40">
        <v>44593</v>
      </c>
      <c r="F9" s="73">
        <v>5360</v>
      </c>
      <c r="G9" s="73">
        <v>5360</v>
      </c>
      <c r="H9" s="73">
        <v>5360</v>
      </c>
      <c r="I9" s="73">
        <v>5360</v>
      </c>
      <c r="J9" s="73">
        <v>5360</v>
      </c>
      <c r="K9" s="58">
        <f>ROUND(F9*(VLOOKUP($D9,缴费比例!B:N,MATCH(K$1,缴费比例!$B$1:$N$1,0),FALSE)),2)</f>
        <v>857.6</v>
      </c>
      <c r="L9" s="58">
        <f>ROUND(F9*(VLOOKUP($D9,缴费比例!$B:$N,MATCH(L$1,缴费比例!$B$1:$N$1,0),FALSE)),2)</f>
        <v>428.8</v>
      </c>
      <c r="M9" s="58">
        <f>ROUND(G9*(VLOOKUP($D9,缴费比例!$B:$N,MATCH(M$1,缴费比例!$B$1:$N$1,0),FALSE)),2)</f>
        <v>26.8</v>
      </c>
      <c r="N9" s="58">
        <f>ROUND(G9*(VLOOKUP($D9,缴费比例!$B:$N,MATCH(N$1,缴费比例!$B$1:$N$1,0),FALSE)),2)</f>
        <v>26.8</v>
      </c>
      <c r="O9" s="58">
        <f>ROUND(H9*(VLOOKUP($D9,缴费比例!$B:$N,MATCH(O$1,缴费比例!$B$1:$N$1,0),FALSE)),2)</f>
        <v>10.72</v>
      </c>
      <c r="P9" s="58">
        <f>ROUND(I9*(VLOOKUP($D9,缴费比例!$B:$N,MATCH(P$1,缴费比例!$B$1:$N$1,0),FALSE)),2)</f>
        <v>525.28</v>
      </c>
      <c r="Q9" s="58">
        <f>ROUND(I9*(VLOOKUP($D9,缴费比例!$B:$N,MATCH(Q$1,缴费比例!$B$1:$N$1,0),FALSE)),2)</f>
        <v>107.2</v>
      </c>
      <c r="R9" s="58">
        <f>ROUND((VLOOKUP($D9,缴费比例!$B:$N,MATCH(R$1,缴费比例!$B$1:$N$1,0),FALSE)),2)</f>
        <v>3</v>
      </c>
      <c r="S9" s="58">
        <f>ROUND(J9*(VLOOKUP($D9,缴费比例!$B:$N,MATCH(S$1,缴费比例!$B$1:$N$1,0),FALSE)),0)</f>
        <v>643</v>
      </c>
      <c r="T9" s="58">
        <f>ROUND(J9*(VLOOKUP($D9,缴费比例!$B:$N,MATCH(T$1,缴费比例!$B$1:$N$1,0),FALSE)),0)</f>
        <v>643</v>
      </c>
      <c r="U9" s="41"/>
      <c r="V9" s="62"/>
      <c r="W9" s="62"/>
      <c r="X9" s="41"/>
      <c r="Y9" s="41"/>
      <c r="Z9" s="41"/>
      <c r="AA9" s="41"/>
      <c r="AB9" s="41"/>
    </row>
    <row r="10" spans="1:28" ht="20.25" hidden="1" customHeight="1">
      <c r="A10" s="71" t="s">
        <v>67</v>
      </c>
      <c r="B10" s="76" t="s">
        <v>45</v>
      </c>
      <c r="C10" s="77" t="s">
        <v>46</v>
      </c>
      <c r="D10" s="46" t="s">
        <v>69</v>
      </c>
      <c r="E10" s="40">
        <v>44593</v>
      </c>
      <c r="F10" s="73">
        <v>11000</v>
      </c>
      <c r="G10" s="73">
        <v>11000</v>
      </c>
      <c r="H10" s="73">
        <v>11000</v>
      </c>
      <c r="I10" s="73">
        <v>11000</v>
      </c>
      <c r="J10" s="73">
        <v>11000</v>
      </c>
      <c r="K10" s="58">
        <f>ROUND(F10*(VLOOKUP($D10,缴费比例!B:N,MATCH(K$1,缴费比例!$B$1:$N$1,0),FALSE)),2)</f>
        <v>1760</v>
      </c>
      <c r="L10" s="58">
        <f>ROUND(F10*(VLOOKUP($D10,缴费比例!$B:$N,MATCH(L$1,缴费比例!$B$1:$N$1,0),FALSE)),2)</f>
        <v>880</v>
      </c>
      <c r="M10" s="58">
        <f>ROUND(G10*(VLOOKUP($D10,缴费比例!$B:$N,MATCH(M$1,缴费比例!$B$1:$N$1,0),FALSE)),2)</f>
        <v>55</v>
      </c>
      <c r="N10" s="58">
        <f>ROUND(G10*(VLOOKUP($D10,缴费比例!$B:$N,MATCH(N$1,缴费比例!$B$1:$N$1,0),FALSE)),2)</f>
        <v>55</v>
      </c>
      <c r="O10" s="58">
        <f>ROUND(H10*(VLOOKUP($D10,缴费比例!$B:$N,MATCH(O$1,缴费比例!$B$1:$N$1,0),FALSE)),2)</f>
        <v>22</v>
      </c>
      <c r="P10" s="58">
        <f>ROUND(I10*(VLOOKUP($D10,缴费比例!$B:$N,MATCH(P$1,缴费比例!$B$1:$N$1,0),FALSE)),2)</f>
        <v>1078</v>
      </c>
      <c r="Q10" s="58">
        <f>ROUND(I10*(VLOOKUP($D10,缴费比例!$B:$N,MATCH(Q$1,缴费比例!$B$1:$N$1,0),FALSE)),2)</f>
        <v>220</v>
      </c>
      <c r="R10" s="58">
        <f>ROUND((VLOOKUP($D10,缴费比例!$B:$N,MATCH(R$1,缴费比例!$B$1:$N$1,0),FALSE)),2)</f>
        <v>3</v>
      </c>
      <c r="S10" s="58">
        <f>ROUND(J10*(VLOOKUP($D10,缴费比例!$B:$N,MATCH(S$1,缴费比例!$B$1:$N$1,0),FALSE)),0)</f>
        <v>1320</v>
      </c>
      <c r="T10" s="58">
        <f>ROUND(J10*(VLOOKUP($D10,缴费比例!$B:$N,MATCH(T$1,缴费比例!$B$1:$N$1,0),FALSE)),0)</f>
        <v>1320</v>
      </c>
      <c r="U10" s="41"/>
      <c r="V10" s="62"/>
      <c r="W10" s="62"/>
      <c r="X10" s="41"/>
      <c r="Y10" s="41"/>
      <c r="Z10" s="41"/>
      <c r="AA10" s="41"/>
      <c r="AB10" s="41"/>
    </row>
    <row r="11" spans="1:28" ht="20.25" hidden="1" customHeight="1">
      <c r="A11" s="71" t="s">
        <v>67</v>
      </c>
      <c r="B11" s="74" t="s">
        <v>47</v>
      </c>
      <c r="C11" s="47" t="s">
        <v>48</v>
      </c>
      <c r="D11" s="47" t="s">
        <v>73</v>
      </c>
      <c r="E11" s="40">
        <v>44593</v>
      </c>
      <c r="F11" s="73">
        <v>1800</v>
      </c>
      <c r="G11" s="73">
        <v>1800</v>
      </c>
      <c r="H11" s="73">
        <v>3488.4</v>
      </c>
      <c r="I11" s="73">
        <v>3676</v>
      </c>
      <c r="J11" s="73">
        <v>1720</v>
      </c>
      <c r="K11" s="58">
        <f>ROUND(F11*(VLOOKUP($D11,缴费比例!B:N,MATCH(K$1,缴费比例!$B$1:$N$1,0),FALSE)),2)</f>
        <v>288</v>
      </c>
      <c r="L11" s="58">
        <f>ROUND(F11*(VLOOKUP($D11,缴费比例!$B:$N,MATCH(L$1,缴费比例!$B$1:$N$1,0),FALSE)),2)</f>
        <v>144</v>
      </c>
      <c r="M11" s="58">
        <f>ROUND(G11*(VLOOKUP($D11,缴费比例!$B:$N,MATCH(M$1,缴费比例!$B$1:$N$1,0),FALSE)),2)</f>
        <v>9</v>
      </c>
      <c r="N11" s="58">
        <f>ROUND(G11*(VLOOKUP($D11,缴费比例!$B:$N,MATCH(N$1,缴费比例!$B$1:$N$1,0),FALSE)),2)</f>
        <v>9</v>
      </c>
      <c r="O11" s="58">
        <f>ROUND(H11*(VLOOKUP($D11,缴费比例!$B:$N,MATCH(O$1,缴费比例!$B$1:$N$1,0),FALSE)),2)</f>
        <v>12.21</v>
      </c>
      <c r="P11" s="58">
        <f>ROUND(I11*(VLOOKUP($D11,缴费比例!$B:$N,MATCH(P$1,缴费比例!$B$1:$N$1,0),FALSE)),2)</f>
        <v>319.81</v>
      </c>
      <c r="Q11" s="58">
        <f>ROUND(I11*(VLOOKUP($D11,缴费比例!$B:$N,MATCH(Q$1,缴费比例!$B$1:$N$1,0),FALSE)),2)</f>
        <v>73.52</v>
      </c>
      <c r="R11" s="58">
        <f>ROUND((VLOOKUP($D11,缴费比例!$B:$N,MATCH(R$1,缴费比例!$B$1:$N$1,0),FALSE)),2)</f>
        <v>0</v>
      </c>
      <c r="S11" s="58">
        <f>ROUND(J11*(VLOOKUP($D11,缴费比例!$B:$N,MATCH(S$1,缴费比例!$B$1:$N$1,0),FALSE)),0)</f>
        <v>138</v>
      </c>
      <c r="T11" s="58">
        <f>ROUND(J11*(VLOOKUP($D11,缴费比例!$B:$N,MATCH(T$1,缴费比例!$B$1:$N$1,0),FALSE)),0)</f>
        <v>138</v>
      </c>
      <c r="U11" s="41"/>
      <c r="V11" s="62"/>
      <c r="W11" s="62"/>
      <c r="X11" s="41"/>
      <c r="Y11" s="41"/>
      <c r="Z11" s="41"/>
      <c r="AA11" s="41"/>
      <c r="AB11" s="41"/>
    </row>
    <row r="12" spans="1:28" ht="20.25" hidden="1" customHeight="1">
      <c r="A12" s="71" t="s">
        <v>67</v>
      </c>
      <c r="B12" s="74" t="s">
        <v>49</v>
      </c>
      <c r="C12" s="47" t="s">
        <v>50</v>
      </c>
      <c r="D12" s="47" t="s">
        <v>71</v>
      </c>
      <c r="E12" s="40">
        <v>44593</v>
      </c>
      <c r="F12" s="73">
        <v>3430</v>
      </c>
      <c r="G12" s="73">
        <v>3430</v>
      </c>
      <c r="H12" s="73">
        <v>3430</v>
      </c>
      <c r="I12" s="73">
        <v>3430</v>
      </c>
      <c r="J12" s="73">
        <v>1650</v>
      </c>
      <c r="K12" s="58">
        <f>ROUND(F12*(VLOOKUP($D12,缴费比例!B:N,MATCH(K$1,缴费比例!$B$1:$N$1,0),FALSE)),2)</f>
        <v>548.79999999999995</v>
      </c>
      <c r="L12" s="58">
        <f>ROUND(F12*(VLOOKUP($D12,缴费比例!$B:$N,MATCH(L$1,缴费比例!$B$1:$N$1,0),FALSE)),2)</f>
        <v>274.39999999999998</v>
      </c>
      <c r="M12" s="58">
        <f>ROUND(G12*(VLOOKUP($D12,缴费比例!$B:$N,MATCH(M$1,缴费比例!$B$1:$N$1,0),FALSE)),2)</f>
        <v>17.149999999999999</v>
      </c>
      <c r="N12" s="58">
        <f>ROUND(G12*(VLOOKUP($D12,缴费比例!$B:$N,MATCH(N$1,缴费比例!$B$1:$N$1,0),FALSE)),2)</f>
        <v>17.149999999999999</v>
      </c>
      <c r="O12" s="58">
        <f>ROUND(H12*(VLOOKUP($D12,缴费比例!$B:$N,MATCH(O$1,缴费比例!$B$1:$N$1,0),FALSE)),2)</f>
        <v>6.86</v>
      </c>
      <c r="P12" s="58">
        <f>ROUND(I12*(VLOOKUP($D12,缴费比例!$B:$N,MATCH(P$1,缴费比例!$B$1:$N$1,0),FALSE)),2)</f>
        <v>219.52</v>
      </c>
      <c r="Q12" s="58">
        <f>ROUND(I12*(VLOOKUP($D12,缴费比例!$B:$N,MATCH(Q$1,缴费比例!$B$1:$N$1,0),FALSE)),2)</f>
        <v>68.599999999999994</v>
      </c>
      <c r="R12" s="58">
        <f>ROUND((VLOOKUP($D12,缴费比例!$B:$N,MATCH(R$1,缴费比例!$B$1:$N$1,0),FALSE)),2)</f>
        <v>0</v>
      </c>
      <c r="S12" s="58">
        <f>ROUND(J12*(VLOOKUP($D12,缴费比例!$B:$N,MATCH(S$1,缴费比例!$B$1:$N$1,0),FALSE)),0)</f>
        <v>83</v>
      </c>
      <c r="T12" s="58">
        <f>ROUND(J12*(VLOOKUP($D12,缴费比例!$B:$N,MATCH(T$1,缴费比例!$B$1:$N$1,0),FALSE)),0)</f>
        <v>83</v>
      </c>
      <c r="U12" s="41"/>
      <c r="V12" s="62"/>
      <c r="W12" s="62"/>
      <c r="X12" s="41"/>
      <c r="Y12" s="41"/>
      <c r="Z12" s="41"/>
      <c r="AA12" s="41"/>
      <c r="AB12" s="41"/>
    </row>
    <row r="13" spans="1:28" ht="20.25" hidden="1" customHeight="1">
      <c r="A13" s="71" t="s">
        <v>67</v>
      </c>
      <c r="B13" s="74" t="s">
        <v>51</v>
      </c>
      <c r="C13" s="47" t="s">
        <v>52</v>
      </c>
      <c r="D13" s="47" t="s">
        <v>71</v>
      </c>
      <c r="E13" s="40">
        <v>44593</v>
      </c>
      <c r="F13" s="73">
        <v>3430</v>
      </c>
      <c r="G13" s="73">
        <v>3430</v>
      </c>
      <c r="H13" s="73">
        <v>3430</v>
      </c>
      <c r="I13" s="73">
        <v>3430</v>
      </c>
      <c r="J13" s="73">
        <v>1650</v>
      </c>
      <c r="K13" s="58">
        <f>ROUND(F13*(VLOOKUP($D13,缴费比例!B:N,MATCH(K$1,缴费比例!$B$1:$N$1,0),FALSE)),2)</f>
        <v>548.79999999999995</v>
      </c>
      <c r="L13" s="58">
        <f>ROUND(F13*(VLOOKUP($D13,缴费比例!$B:$N,MATCH(L$1,缴费比例!$B$1:$N$1,0),FALSE)),2)</f>
        <v>274.39999999999998</v>
      </c>
      <c r="M13" s="58">
        <f>ROUND(G13*(VLOOKUP($D13,缴费比例!$B:$N,MATCH(M$1,缴费比例!$B$1:$N$1,0),FALSE)),2)</f>
        <v>17.149999999999999</v>
      </c>
      <c r="N13" s="58">
        <f>ROUND(G13*(VLOOKUP($D13,缴费比例!$B:$N,MATCH(N$1,缴费比例!$B$1:$N$1,0),FALSE)),2)</f>
        <v>17.149999999999999</v>
      </c>
      <c r="O13" s="58">
        <f>ROUND(H13*(VLOOKUP($D13,缴费比例!$B:$N,MATCH(O$1,缴费比例!$B$1:$N$1,0),FALSE)),2)</f>
        <v>6.86</v>
      </c>
      <c r="P13" s="58">
        <f>ROUND(I13*(VLOOKUP($D13,缴费比例!$B:$N,MATCH(P$1,缴费比例!$B$1:$N$1,0),FALSE)),2)</f>
        <v>219.52</v>
      </c>
      <c r="Q13" s="58">
        <f>ROUND(I13*(VLOOKUP($D13,缴费比例!$B:$N,MATCH(Q$1,缴费比例!$B$1:$N$1,0),FALSE)),2)</f>
        <v>68.599999999999994</v>
      </c>
      <c r="R13" s="58">
        <f>ROUND((VLOOKUP($D13,缴费比例!$B:$N,MATCH(R$1,缴费比例!$B$1:$N$1,0),FALSE)),2)</f>
        <v>0</v>
      </c>
      <c r="S13" s="58">
        <f>ROUND(J13*(VLOOKUP($D13,缴费比例!$B:$N,MATCH(S$1,缴费比例!$B$1:$N$1,0),FALSE)),0)</f>
        <v>83</v>
      </c>
      <c r="T13" s="58">
        <f>ROUND(J13*(VLOOKUP($D13,缴费比例!$B:$N,MATCH(T$1,缴费比例!$B$1:$N$1,0),FALSE)),0)</f>
        <v>83</v>
      </c>
      <c r="U13" s="41"/>
      <c r="V13" s="62"/>
      <c r="W13" s="62"/>
      <c r="X13" s="41"/>
      <c r="Y13" s="41"/>
      <c r="Z13" s="41"/>
      <c r="AA13" s="41"/>
      <c r="AB13" s="41"/>
    </row>
    <row r="14" spans="1:28" ht="20.25" hidden="1" customHeight="1">
      <c r="A14" s="71" t="s">
        <v>67</v>
      </c>
      <c r="B14" s="74" t="s">
        <v>53</v>
      </c>
      <c r="C14" s="47" t="s">
        <v>54</v>
      </c>
      <c r="D14" s="47" t="s">
        <v>71</v>
      </c>
      <c r="E14" s="40">
        <v>44593</v>
      </c>
      <c r="F14" s="73">
        <v>3430</v>
      </c>
      <c r="G14" s="73">
        <v>3430</v>
      </c>
      <c r="H14" s="73">
        <v>3430</v>
      </c>
      <c r="I14" s="73">
        <v>3430</v>
      </c>
      <c r="J14" s="73">
        <v>1650</v>
      </c>
      <c r="K14" s="58">
        <f>ROUND(F14*(VLOOKUP($D14,缴费比例!B:N,MATCH(K$1,缴费比例!$B$1:$N$1,0),FALSE)),2)</f>
        <v>548.79999999999995</v>
      </c>
      <c r="L14" s="58">
        <f>ROUND(F14*(VLOOKUP($D14,缴费比例!$B:$N,MATCH(L$1,缴费比例!$B$1:$N$1,0),FALSE)),2)</f>
        <v>274.39999999999998</v>
      </c>
      <c r="M14" s="58">
        <f>ROUND(G14*(VLOOKUP($D14,缴费比例!$B:$N,MATCH(M$1,缴费比例!$B$1:$N$1,0),FALSE)),2)</f>
        <v>17.149999999999999</v>
      </c>
      <c r="N14" s="58">
        <f>ROUND(G14*(VLOOKUP($D14,缴费比例!$B:$N,MATCH(N$1,缴费比例!$B$1:$N$1,0),FALSE)),2)</f>
        <v>17.149999999999999</v>
      </c>
      <c r="O14" s="58">
        <f>ROUND(H14*(VLOOKUP($D14,缴费比例!$B:$N,MATCH(O$1,缴费比例!$B$1:$N$1,0),FALSE)),2)</f>
        <v>6.86</v>
      </c>
      <c r="P14" s="58">
        <f>ROUND(I14*(VLOOKUP($D14,缴费比例!$B:$N,MATCH(P$1,缴费比例!$B$1:$N$1,0),FALSE)),2)</f>
        <v>219.52</v>
      </c>
      <c r="Q14" s="58">
        <f>ROUND(I14*(VLOOKUP($D14,缴费比例!$B:$N,MATCH(Q$1,缴费比例!$B$1:$N$1,0),FALSE)),2)</f>
        <v>68.599999999999994</v>
      </c>
      <c r="R14" s="58">
        <f>ROUND((VLOOKUP($D14,缴费比例!$B:$N,MATCH(R$1,缴费比例!$B$1:$N$1,0),FALSE)),2)</f>
        <v>0</v>
      </c>
      <c r="S14" s="58">
        <f>ROUND(J14*(VLOOKUP($D14,缴费比例!$B:$N,MATCH(S$1,缴费比例!$B$1:$N$1,0),FALSE)),0)</f>
        <v>83</v>
      </c>
      <c r="T14" s="58">
        <f>ROUND(J14*(VLOOKUP($D14,缴费比例!$B:$N,MATCH(T$1,缴费比例!$B$1:$N$1,0),FALSE)),0)</f>
        <v>83</v>
      </c>
      <c r="U14" s="41"/>
      <c r="V14" s="62"/>
      <c r="W14" s="62"/>
      <c r="X14" s="41"/>
      <c r="Y14" s="41"/>
      <c r="Z14" s="41"/>
      <c r="AA14" s="41"/>
      <c r="AB14" s="41"/>
    </row>
    <row r="15" spans="1:28" ht="20.25" hidden="1" customHeight="1">
      <c r="A15" s="71" t="s">
        <v>67</v>
      </c>
      <c r="B15" s="74" t="s">
        <v>55</v>
      </c>
      <c r="C15" s="47" t="s">
        <v>56</v>
      </c>
      <c r="D15" s="47" t="s">
        <v>71</v>
      </c>
      <c r="E15" s="40">
        <v>44593</v>
      </c>
      <c r="F15" s="73">
        <v>3430</v>
      </c>
      <c r="G15" s="73">
        <v>3430</v>
      </c>
      <c r="H15" s="73">
        <v>3430</v>
      </c>
      <c r="I15" s="73">
        <v>3430</v>
      </c>
      <c r="J15" s="73">
        <v>1650</v>
      </c>
      <c r="K15" s="58">
        <f>ROUND(F15*(VLOOKUP($D15,缴费比例!B:N,MATCH(K$1,缴费比例!$B$1:$N$1,0),FALSE)),2)</f>
        <v>548.79999999999995</v>
      </c>
      <c r="L15" s="58">
        <f>ROUND(F15*(VLOOKUP($D15,缴费比例!$B:$N,MATCH(L$1,缴费比例!$B$1:$N$1,0),FALSE)),2)</f>
        <v>274.39999999999998</v>
      </c>
      <c r="M15" s="58">
        <f>ROUND(G15*(VLOOKUP($D15,缴费比例!$B:$N,MATCH(M$1,缴费比例!$B$1:$N$1,0),FALSE)),2)</f>
        <v>17.149999999999999</v>
      </c>
      <c r="N15" s="58">
        <f>ROUND(G15*(VLOOKUP($D15,缴费比例!$B:$N,MATCH(N$1,缴费比例!$B$1:$N$1,0),FALSE)),2)</f>
        <v>17.149999999999999</v>
      </c>
      <c r="O15" s="58">
        <f>ROUND(H15*(VLOOKUP($D15,缴费比例!$B:$N,MATCH(O$1,缴费比例!$B$1:$N$1,0),FALSE)),2)</f>
        <v>6.86</v>
      </c>
      <c r="P15" s="58">
        <f>ROUND(I15*(VLOOKUP($D15,缴费比例!$B:$N,MATCH(P$1,缴费比例!$B$1:$N$1,0),FALSE)),2)</f>
        <v>219.52</v>
      </c>
      <c r="Q15" s="58">
        <f>ROUND(I15*(VLOOKUP($D15,缴费比例!$B:$N,MATCH(Q$1,缴费比例!$B$1:$N$1,0),FALSE)),2)</f>
        <v>68.599999999999994</v>
      </c>
      <c r="R15" s="58">
        <f>ROUND((VLOOKUP($D15,缴费比例!$B:$N,MATCH(R$1,缴费比例!$B$1:$N$1,0),FALSE)),2)</f>
        <v>0</v>
      </c>
      <c r="S15" s="58">
        <f>ROUND(J15*(VLOOKUP($D15,缴费比例!$B:$N,MATCH(S$1,缴费比例!$B$1:$N$1,0),FALSE)),0)</f>
        <v>83</v>
      </c>
      <c r="T15" s="58">
        <f>ROUND(J15*(VLOOKUP($D15,缴费比例!$B:$N,MATCH(T$1,缴费比例!$B$1:$N$1,0),FALSE)),0)</f>
        <v>83</v>
      </c>
      <c r="U15" s="41"/>
      <c r="V15" s="62"/>
      <c r="W15" s="62"/>
      <c r="X15" s="41"/>
      <c r="Y15" s="41"/>
      <c r="Z15" s="41"/>
      <c r="AA15" s="41"/>
      <c r="AB15" s="41"/>
    </row>
    <row r="16" spans="1:28" ht="20.25" hidden="1" customHeight="1">
      <c r="A16" s="71" t="s">
        <v>67</v>
      </c>
      <c r="B16" s="74" t="s">
        <v>57</v>
      </c>
      <c r="C16" s="47" t="s">
        <v>58</v>
      </c>
      <c r="D16" s="47" t="s">
        <v>71</v>
      </c>
      <c r="E16" s="40">
        <v>44593</v>
      </c>
      <c r="F16" s="73">
        <v>3430</v>
      </c>
      <c r="G16" s="73">
        <v>3430</v>
      </c>
      <c r="H16" s="73">
        <v>3430</v>
      </c>
      <c r="I16" s="73">
        <v>3430</v>
      </c>
      <c r="J16" s="73">
        <v>1650</v>
      </c>
      <c r="K16" s="58">
        <f>ROUND(F16*(VLOOKUP($D16,缴费比例!B:N,MATCH(K$1,缴费比例!$B$1:$N$1,0),FALSE)),2)</f>
        <v>548.79999999999995</v>
      </c>
      <c r="L16" s="58">
        <f>ROUND(F16*(VLOOKUP($D16,缴费比例!$B:$N,MATCH(L$1,缴费比例!$B$1:$N$1,0),FALSE)),2)</f>
        <v>274.39999999999998</v>
      </c>
      <c r="M16" s="58">
        <f>ROUND(G16*(VLOOKUP($D16,缴费比例!$B:$N,MATCH(M$1,缴费比例!$B$1:$N$1,0),FALSE)),2)</f>
        <v>17.149999999999999</v>
      </c>
      <c r="N16" s="58">
        <f>ROUND(G16*(VLOOKUP($D16,缴费比例!$B:$N,MATCH(N$1,缴费比例!$B$1:$N$1,0),FALSE)),2)</f>
        <v>17.149999999999999</v>
      </c>
      <c r="O16" s="58">
        <f>ROUND(H16*(VLOOKUP($D16,缴费比例!$B:$N,MATCH(O$1,缴费比例!$B$1:$N$1,0),FALSE)),2)</f>
        <v>6.86</v>
      </c>
      <c r="P16" s="58">
        <f>ROUND(I16*(VLOOKUP($D16,缴费比例!$B:$N,MATCH(P$1,缴费比例!$B$1:$N$1,0),FALSE)),2)</f>
        <v>219.52</v>
      </c>
      <c r="Q16" s="58">
        <f>ROUND(I16*(VLOOKUP($D16,缴费比例!$B:$N,MATCH(Q$1,缴费比例!$B$1:$N$1,0),FALSE)),2)</f>
        <v>68.599999999999994</v>
      </c>
      <c r="R16" s="58">
        <f>ROUND((VLOOKUP($D16,缴费比例!$B:$N,MATCH(R$1,缴费比例!$B$1:$N$1,0),FALSE)),2)</f>
        <v>0</v>
      </c>
      <c r="S16" s="58">
        <f>ROUND(J16*(VLOOKUP($D16,缴费比例!$B:$N,MATCH(S$1,缴费比例!$B$1:$N$1,0),FALSE)),0)</f>
        <v>83</v>
      </c>
      <c r="T16" s="58">
        <f>ROUND(J16*(VLOOKUP($D16,缴费比例!$B:$N,MATCH(T$1,缴费比例!$B$1:$N$1,0),FALSE)),0)</f>
        <v>83</v>
      </c>
      <c r="U16" s="41"/>
      <c r="V16" s="62"/>
      <c r="W16" s="62"/>
      <c r="X16" s="41"/>
      <c r="Y16" s="41"/>
      <c r="Z16" s="41"/>
      <c r="AA16" s="41"/>
      <c r="AB16" s="41"/>
    </row>
    <row r="17" spans="1:23" ht="20.25" hidden="1" customHeight="1">
      <c r="A17" s="71" t="s">
        <v>67</v>
      </c>
      <c r="B17" s="74" t="s">
        <v>59</v>
      </c>
      <c r="C17" s="47" t="s">
        <v>60</v>
      </c>
      <c r="D17" s="47" t="s">
        <v>134</v>
      </c>
      <c r="E17" s="40">
        <v>44593</v>
      </c>
      <c r="F17" s="73">
        <v>3430</v>
      </c>
      <c r="G17" s="73">
        <v>3430</v>
      </c>
      <c r="H17" s="73">
        <v>3430</v>
      </c>
      <c r="I17" s="73">
        <v>3430</v>
      </c>
      <c r="J17" s="73">
        <v>11000</v>
      </c>
      <c r="K17" s="58">
        <f>ROUND(F17*(VLOOKUP($D17,缴费比例!B:N,MATCH(K$1,缴费比例!$B$1:$N$1,0),FALSE)),2)</f>
        <v>548.79999999999995</v>
      </c>
      <c r="L17" s="58">
        <f>ROUND(F17*(VLOOKUP($D17,缴费比例!$B:$N,MATCH(L$1,缴费比例!$B$1:$N$1,0),FALSE)),2)</f>
        <v>274.39999999999998</v>
      </c>
      <c r="M17" s="58">
        <f>ROUND(G17*(VLOOKUP($D17,缴费比例!$B:$N,MATCH(M$1,缴费比例!$B$1:$N$1,0),FALSE)),2)</f>
        <v>17.149999999999999</v>
      </c>
      <c r="N17" s="58">
        <f>ROUND(G17*(VLOOKUP($D17,缴费比例!$B:$N,MATCH(N$1,缴费比例!$B$1:$N$1,0),FALSE)),2)</f>
        <v>17.149999999999999</v>
      </c>
      <c r="O17" s="58">
        <f>ROUND(H17*(VLOOKUP($D17,缴费比例!$B:$N,MATCH(O$1,缴费比例!$B$1:$N$1,0),FALSE)),2)</f>
        <v>6.86</v>
      </c>
      <c r="P17" s="58">
        <f>ROUND(I17*(VLOOKUP($D17,缴费比例!$B:$N,MATCH(P$1,缴费比例!$B$1:$N$1,0),FALSE)),2)</f>
        <v>219.52</v>
      </c>
      <c r="Q17" s="58">
        <f>ROUND(I17*(VLOOKUP($D17,缴费比例!$B:$N,MATCH(Q$1,缴费比例!$B$1:$N$1,0),FALSE)),2)</f>
        <v>68.599999999999994</v>
      </c>
      <c r="R17" s="58">
        <f>ROUND((VLOOKUP($D17,缴费比例!$B:$N,MATCH(R$1,缴费比例!$B$1:$N$1,0),FALSE)),2)</f>
        <v>0</v>
      </c>
      <c r="S17" s="58">
        <f>ROUND(J17*(VLOOKUP($D17,缴费比例!$B:$N,MATCH(S$1,缴费比例!$B$1:$N$1,0),FALSE)),0)</f>
        <v>1320</v>
      </c>
      <c r="T17" s="58">
        <f>ROUND(J17*(VLOOKUP($D17,缴费比例!$B:$N,MATCH(T$1,缴费比例!$B$1:$N$1,0),FALSE)),0)</f>
        <v>1320</v>
      </c>
      <c r="U17" s="41"/>
      <c r="V17" s="62"/>
      <c r="W17" s="62"/>
    </row>
    <row r="18" spans="1:23" ht="20.25" hidden="1" customHeight="1">
      <c r="A18" s="71" t="s">
        <v>67</v>
      </c>
      <c r="B18" s="74" t="s">
        <v>61</v>
      </c>
      <c r="C18" s="47" t="s">
        <v>62</v>
      </c>
      <c r="D18" s="47" t="s">
        <v>71</v>
      </c>
      <c r="E18" s="40">
        <v>44593</v>
      </c>
      <c r="F18" s="73">
        <v>3430</v>
      </c>
      <c r="G18" s="73">
        <v>3430</v>
      </c>
      <c r="H18" s="73">
        <v>3430</v>
      </c>
      <c r="I18" s="73">
        <v>3430</v>
      </c>
      <c r="J18" s="73">
        <v>1650</v>
      </c>
      <c r="K18" s="58">
        <f>ROUND(F18*(VLOOKUP($D18,缴费比例!B:N,MATCH(K$1,缴费比例!$B$1:$N$1,0),FALSE)),2)</f>
        <v>548.79999999999995</v>
      </c>
      <c r="L18" s="58">
        <f>ROUND(F18*(VLOOKUP($D18,缴费比例!$B:$N,MATCH(L$1,缴费比例!$B$1:$N$1,0),FALSE)),2)</f>
        <v>274.39999999999998</v>
      </c>
      <c r="M18" s="58">
        <f>ROUND(G18*(VLOOKUP($D18,缴费比例!$B:$N,MATCH(M$1,缴费比例!$B$1:$N$1,0),FALSE)),2)</f>
        <v>17.149999999999999</v>
      </c>
      <c r="N18" s="58">
        <f>ROUND(G18*(VLOOKUP($D18,缴费比例!$B:$N,MATCH(N$1,缴费比例!$B$1:$N$1,0),FALSE)),2)</f>
        <v>17.149999999999999</v>
      </c>
      <c r="O18" s="58">
        <f>ROUND(H18*(VLOOKUP($D18,缴费比例!$B:$N,MATCH(O$1,缴费比例!$B$1:$N$1,0),FALSE)),2)</f>
        <v>6.86</v>
      </c>
      <c r="P18" s="58">
        <f>ROUND(I18*(VLOOKUP($D18,缴费比例!$B:$N,MATCH(P$1,缴费比例!$B$1:$N$1,0),FALSE)),2)</f>
        <v>219.52</v>
      </c>
      <c r="Q18" s="58">
        <f>ROUND(I18*(VLOOKUP($D18,缴费比例!$B:$N,MATCH(Q$1,缴费比例!$B$1:$N$1,0),FALSE)),2)</f>
        <v>68.599999999999994</v>
      </c>
      <c r="R18" s="58">
        <f>ROUND((VLOOKUP($D18,缴费比例!$B:$N,MATCH(R$1,缴费比例!$B$1:$N$1,0),FALSE)),2)</f>
        <v>0</v>
      </c>
      <c r="S18" s="58">
        <f>ROUND(J18*(VLOOKUP($D18,缴费比例!$B:$N,MATCH(S$1,缴费比例!$B$1:$N$1,0),FALSE)),0)</f>
        <v>83</v>
      </c>
      <c r="T18" s="58">
        <f>ROUND(J18*(VLOOKUP($D18,缴费比例!$B:$N,MATCH(T$1,缴费比例!$B$1:$N$1,0),FALSE)),0)</f>
        <v>83</v>
      </c>
      <c r="U18" s="41"/>
      <c r="V18" s="62"/>
      <c r="W18" s="62"/>
    </row>
    <row r="19" spans="1:23" ht="20.25" hidden="1" customHeight="1">
      <c r="A19" s="71" t="s">
        <v>67</v>
      </c>
      <c r="B19" s="74" t="s">
        <v>63</v>
      </c>
      <c r="C19" s="47" t="s">
        <v>64</v>
      </c>
      <c r="D19" s="47" t="s">
        <v>71</v>
      </c>
      <c r="E19" s="40">
        <v>44593</v>
      </c>
      <c r="F19" s="73">
        <v>3430</v>
      </c>
      <c r="G19" s="73">
        <v>3430</v>
      </c>
      <c r="H19" s="73">
        <v>3430</v>
      </c>
      <c r="I19" s="73">
        <v>3430</v>
      </c>
      <c r="J19" s="73">
        <v>1650</v>
      </c>
      <c r="K19" s="58">
        <f>ROUND(F19*(VLOOKUP($D19,缴费比例!B:N,MATCH(K$1,缴费比例!$B$1:$N$1,0),FALSE)),2)</f>
        <v>548.79999999999995</v>
      </c>
      <c r="L19" s="58">
        <f>ROUND(F19*(VLOOKUP($D19,缴费比例!$B:$N,MATCH(L$1,缴费比例!$B$1:$N$1,0),FALSE)),2)</f>
        <v>274.39999999999998</v>
      </c>
      <c r="M19" s="58">
        <f>ROUND(G19*(VLOOKUP($D19,缴费比例!$B:$N,MATCH(M$1,缴费比例!$B$1:$N$1,0),FALSE)),2)</f>
        <v>17.149999999999999</v>
      </c>
      <c r="N19" s="58">
        <f>ROUND(G19*(VLOOKUP($D19,缴费比例!$B:$N,MATCH(N$1,缴费比例!$B$1:$N$1,0),FALSE)),2)</f>
        <v>17.149999999999999</v>
      </c>
      <c r="O19" s="58">
        <f>ROUND(H19*(VLOOKUP($D19,缴费比例!$B:$N,MATCH(O$1,缴费比例!$B$1:$N$1,0),FALSE)),2)</f>
        <v>6.86</v>
      </c>
      <c r="P19" s="58">
        <f>ROUND(I19*(VLOOKUP($D19,缴费比例!$B:$N,MATCH(P$1,缴费比例!$B$1:$N$1,0),FALSE)),2)</f>
        <v>219.52</v>
      </c>
      <c r="Q19" s="58">
        <f>ROUND(I19*(VLOOKUP($D19,缴费比例!$B:$N,MATCH(Q$1,缴费比例!$B$1:$N$1,0),FALSE)),2)</f>
        <v>68.599999999999994</v>
      </c>
      <c r="R19" s="58">
        <f>ROUND((VLOOKUP($D19,缴费比例!$B:$N,MATCH(R$1,缴费比例!$B$1:$N$1,0),FALSE)),2)</f>
        <v>0</v>
      </c>
      <c r="S19" s="58">
        <f>ROUND(J19*(VLOOKUP($D19,缴费比例!$B:$N,MATCH(S$1,缴费比例!$B$1:$N$1,0),FALSE)),0)</f>
        <v>83</v>
      </c>
      <c r="T19" s="58">
        <f>ROUND(J19*(VLOOKUP($D19,缴费比例!$B:$N,MATCH(T$1,缴费比例!$B$1:$N$1,0),FALSE)),0)</f>
        <v>83</v>
      </c>
      <c r="U19" s="41"/>
      <c r="V19" s="62"/>
      <c r="W19" s="62"/>
    </row>
    <row r="20" spans="1:23" ht="20.25" hidden="1" customHeight="1">
      <c r="A20" s="71" t="s">
        <v>67</v>
      </c>
      <c r="B20" s="74" t="s">
        <v>65</v>
      </c>
      <c r="C20" s="47" t="s">
        <v>66</v>
      </c>
      <c r="D20" s="47" t="s">
        <v>71</v>
      </c>
      <c r="E20" s="40">
        <v>44593</v>
      </c>
      <c r="F20" s="73">
        <v>3430</v>
      </c>
      <c r="G20" s="73">
        <v>3430</v>
      </c>
      <c r="H20" s="73">
        <v>3430</v>
      </c>
      <c r="I20" s="73">
        <v>3430</v>
      </c>
      <c r="J20" s="73">
        <v>1650</v>
      </c>
      <c r="K20" s="58">
        <f>ROUND(F20*(VLOOKUP($D20,缴费比例!B:N,MATCH(K$1,缴费比例!$B$1:$N$1,0),FALSE)),2)</f>
        <v>548.79999999999995</v>
      </c>
      <c r="L20" s="58">
        <f>ROUND(F20*(VLOOKUP($D20,缴费比例!$B:$N,MATCH(L$1,缴费比例!$B$1:$N$1,0),FALSE)),2)</f>
        <v>274.39999999999998</v>
      </c>
      <c r="M20" s="58">
        <f>ROUND(G20*(VLOOKUP($D20,缴费比例!$B:$N,MATCH(M$1,缴费比例!$B$1:$N$1,0),FALSE)),2)</f>
        <v>17.149999999999999</v>
      </c>
      <c r="N20" s="58">
        <f>ROUND(G20*(VLOOKUP($D20,缴费比例!$B:$N,MATCH(N$1,缴费比例!$B$1:$N$1,0),FALSE)),2)</f>
        <v>17.149999999999999</v>
      </c>
      <c r="O20" s="58">
        <f>ROUND(H20*(VLOOKUP($D20,缴费比例!$B:$N,MATCH(O$1,缴费比例!$B$1:$N$1,0),FALSE)),2)</f>
        <v>6.86</v>
      </c>
      <c r="P20" s="58">
        <f>ROUND(I20*(VLOOKUP($D20,缴费比例!$B:$N,MATCH(P$1,缴费比例!$B$1:$N$1,0),FALSE)),2)</f>
        <v>219.52</v>
      </c>
      <c r="Q20" s="58">
        <f>ROUND(I20*(VLOOKUP($D20,缴费比例!$B:$N,MATCH(Q$1,缴费比例!$B$1:$N$1,0),FALSE)),2)</f>
        <v>68.599999999999994</v>
      </c>
      <c r="R20" s="58">
        <f>ROUND((VLOOKUP($D20,缴费比例!$B:$N,MATCH(R$1,缴费比例!$B$1:$N$1,0),FALSE)),2)</f>
        <v>0</v>
      </c>
      <c r="S20" s="58">
        <f>ROUND(J20*(VLOOKUP($D20,缴费比例!$B:$N,MATCH(S$1,缴费比例!$B$1:$N$1,0),FALSE)),0)</f>
        <v>83</v>
      </c>
      <c r="T20" s="58">
        <f>ROUND(J20*(VLOOKUP($D20,缴费比例!$B:$N,MATCH(T$1,缴费比例!$B$1:$N$1,0),FALSE)),0)</f>
        <v>83</v>
      </c>
      <c r="U20" s="41"/>
      <c r="V20" s="62"/>
      <c r="W20" s="62"/>
    </row>
    <row r="21" spans="1:23" ht="20.25" customHeight="1">
      <c r="A21" s="44"/>
      <c r="B21" s="78"/>
      <c r="C21" s="43"/>
      <c r="D21" s="43"/>
      <c r="E21" s="40"/>
      <c r="F21" s="66"/>
      <c r="G21" s="79"/>
      <c r="H21" s="79"/>
      <c r="I21" s="79"/>
      <c r="J21" s="79"/>
      <c r="K21" s="58"/>
      <c r="L21" s="58"/>
      <c r="M21" s="59"/>
      <c r="N21" s="59"/>
      <c r="O21" s="59"/>
      <c r="P21" s="59"/>
      <c r="Q21" s="59"/>
      <c r="R21" s="59"/>
      <c r="S21" s="58"/>
      <c r="T21" s="58"/>
      <c r="U21" s="41"/>
      <c r="V21" s="62"/>
      <c r="W21" s="62"/>
    </row>
    <row r="22" spans="1:23" ht="20.25" customHeight="1">
      <c r="A22" s="44"/>
      <c r="B22" s="78"/>
      <c r="C22" s="43"/>
      <c r="D22" s="43"/>
      <c r="E22" s="40"/>
      <c r="F22" s="66"/>
      <c r="G22" s="79"/>
      <c r="H22" s="79"/>
      <c r="I22" s="79"/>
      <c r="J22" s="79"/>
      <c r="K22" s="58"/>
      <c r="L22" s="58"/>
      <c r="M22" s="59"/>
      <c r="N22" s="59"/>
      <c r="O22" s="59"/>
      <c r="P22" s="59"/>
      <c r="Q22" s="59"/>
      <c r="R22" s="59"/>
      <c r="S22" s="58"/>
      <c r="T22" s="58"/>
      <c r="U22" s="41"/>
      <c r="V22" s="62"/>
      <c r="W22" s="62"/>
    </row>
    <row r="23" spans="1:23" ht="20.25" customHeight="1">
      <c r="A23" s="44"/>
      <c r="B23" s="65"/>
      <c r="C23" s="43"/>
      <c r="D23" s="43"/>
      <c r="E23" s="57"/>
      <c r="F23" s="66"/>
      <c r="G23" s="60"/>
      <c r="H23" s="60"/>
      <c r="I23" s="60"/>
      <c r="J23" s="60"/>
      <c r="K23" s="58"/>
      <c r="L23" s="58"/>
      <c r="M23" s="59"/>
      <c r="N23" s="59"/>
      <c r="O23" s="59"/>
      <c r="P23" s="59"/>
      <c r="Q23" s="59"/>
      <c r="R23" s="59"/>
      <c r="S23" s="58"/>
      <c r="T23" s="58"/>
      <c r="U23" s="41"/>
      <c r="V23" s="62"/>
      <c r="W23" s="62"/>
    </row>
    <row r="24" spans="1:23" ht="20.25" customHeight="1">
      <c r="A24" s="44"/>
      <c r="B24" s="65"/>
      <c r="C24" s="43"/>
      <c r="D24" s="43"/>
      <c r="E24" s="57"/>
      <c r="F24" s="66"/>
      <c r="G24" s="60"/>
      <c r="H24" s="60"/>
      <c r="I24" s="60"/>
      <c r="J24" s="60"/>
      <c r="K24" s="58"/>
      <c r="L24" s="58"/>
      <c r="M24" s="59"/>
      <c r="N24" s="59"/>
      <c r="O24" s="59"/>
      <c r="P24" s="59"/>
      <c r="Q24" s="59"/>
      <c r="R24" s="59"/>
      <c r="S24" s="58"/>
      <c r="T24" s="58"/>
      <c r="U24" s="41"/>
      <c r="V24" s="62"/>
      <c r="W24" s="62"/>
    </row>
    <row r="25" spans="1:23" ht="20.25" customHeight="1">
      <c r="A25" s="44"/>
      <c r="B25" s="65"/>
      <c r="C25" s="43"/>
      <c r="D25" s="43"/>
      <c r="E25" s="57"/>
      <c r="F25" s="66"/>
      <c r="G25" s="60"/>
      <c r="H25" s="60"/>
      <c r="I25" s="60"/>
      <c r="J25" s="60"/>
      <c r="K25" s="58"/>
      <c r="L25" s="58"/>
      <c r="M25" s="59"/>
      <c r="N25" s="59"/>
      <c r="O25" s="59"/>
      <c r="P25" s="59"/>
      <c r="Q25" s="59"/>
      <c r="R25" s="59"/>
      <c r="S25" s="58"/>
      <c r="T25" s="58"/>
      <c r="U25" s="41"/>
      <c r="V25" s="62"/>
      <c r="W25" s="62"/>
    </row>
    <row r="26" spans="1:23" ht="20.25" customHeight="1">
      <c r="A26" s="44"/>
      <c r="B26" s="65"/>
      <c r="C26" s="43"/>
      <c r="D26" s="43"/>
      <c r="E26" s="57"/>
      <c r="F26" s="66"/>
      <c r="G26" s="60"/>
      <c r="H26" s="60"/>
      <c r="I26" s="60"/>
      <c r="J26" s="60"/>
      <c r="K26" s="58"/>
      <c r="L26" s="58"/>
      <c r="M26" s="59"/>
      <c r="N26" s="59"/>
      <c r="O26" s="59"/>
      <c r="P26" s="59"/>
      <c r="Q26" s="59"/>
      <c r="R26" s="59"/>
      <c r="S26" s="58"/>
      <c r="T26" s="58"/>
      <c r="U26" s="41"/>
      <c r="V26" s="62"/>
      <c r="W26" s="62"/>
    </row>
    <row r="27" spans="1:23" ht="20.25" customHeight="1">
      <c r="A27" s="44"/>
      <c r="B27" s="65"/>
      <c r="C27" s="43"/>
      <c r="D27" s="43"/>
      <c r="E27" s="57"/>
      <c r="F27" s="66"/>
      <c r="G27" s="60"/>
      <c r="H27" s="60"/>
      <c r="I27" s="60"/>
      <c r="J27" s="60"/>
      <c r="K27" s="58"/>
      <c r="L27" s="58"/>
      <c r="M27" s="59"/>
      <c r="N27" s="59"/>
      <c r="O27" s="59"/>
      <c r="P27" s="59"/>
      <c r="Q27" s="59"/>
      <c r="R27" s="59"/>
      <c r="S27" s="58"/>
      <c r="T27" s="58"/>
      <c r="U27" s="41"/>
      <c r="V27" s="62"/>
      <c r="W27" s="62"/>
    </row>
    <row r="28" spans="1:23" ht="20.25" customHeight="1">
      <c r="A28" s="44"/>
      <c r="B28" s="65"/>
      <c r="C28" s="43"/>
      <c r="D28" s="43"/>
      <c r="E28" s="57"/>
      <c r="F28" s="66"/>
      <c r="G28" s="60"/>
      <c r="H28" s="60"/>
      <c r="I28" s="60"/>
      <c r="J28" s="60"/>
      <c r="K28" s="58"/>
      <c r="L28" s="58"/>
      <c r="M28" s="59"/>
      <c r="N28" s="59"/>
      <c r="O28" s="59"/>
      <c r="P28" s="59"/>
      <c r="Q28" s="59"/>
      <c r="R28" s="59"/>
      <c r="S28" s="58"/>
      <c r="T28" s="58"/>
      <c r="U28" s="41"/>
      <c r="V28" s="62"/>
      <c r="W28" s="62"/>
    </row>
    <row r="29" spans="1:23" ht="20.25" customHeight="1">
      <c r="A29" s="44"/>
      <c r="B29" s="65"/>
      <c r="C29" s="43"/>
      <c r="D29" s="43"/>
      <c r="E29" s="57"/>
      <c r="F29" s="66"/>
      <c r="G29" s="60"/>
      <c r="H29" s="60"/>
      <c r="I29" s="60"/>
      <c r="J29" s="60"/>
      <c r="K29" s="58"/>
      <c r="L29" s="58"/>
      <c r="M29" s="59"/>
      <c r="N29" s="59"/>
      <c r="O29" s="59"/>
      <c r="P29" s="59"/>
      <c r="Q29" s="59"/>
      <c r="R29" s="59"/>
      <c r="S29" s="58"/>
      <c r="T29" s="58"/>
      <c r="U29" s="41"/>
      <c r="V29" s="62"/>
      <c r="W29" s="62"/>
    </row>
    <row r="30" spans="1:23" ht="20.25" customHeight="1">
      <c r="A30" s="44"/>
      <c r="B30" s="65"/>
      <c r="C30" s="43"/>
      <c r="D30" s="43"/>
      <c r="E30" s="57"/>
      <c r="F30" s="66"/>
      <c r="G30" s="60"/>
      <c r="H30" s="60"/>
      <c r="I30" s="60"/>
      <c r="J30" s="60"/>
      <c r="K30" s="58"/>
      <c r="L30" s="58"/>
      <c r="M30" s="59"/>
      <c r="N30" s="59"/>
      <c r="O30" s="59"/>
      <c r="P30" s="59"/>
      <c r="Q30" s="59"/>
      <c r="R30" s="59"/>
      <c r="S30" s="58"/>
      <c r="T30" s="58"/>
      <c r="U30" s="41"/>
      <c r="V30" s="62"/>
      <c r="W30" s="62"/>
    </row>
    <row r="31" spans="1:23" ht="20.25" customHeight="1">
      <c r="A31" s="44"/>
      <c r="B31" s="65"/>
      <c r="C31" s="43"/>
      <c r="D31" s="43"/>
      <c r="E31" s="57"/>
      <c r="F31" s="66"/>
      <c r="G31" s="60"/>
      <c r="H31" s="60"/>
      <c r="I31" s="60"/>
      <c r="J31" s="60"/>
      <c r="K31" s="58"/>
      <c r="L31" s="58"/>
      <c r="M31" s="59"/>
      <c r="N31" s="59"/>
      <c r="O31" s="59"/>
      <c r="P31" s="59"/>
      <c r="Q31" s="59"/>
      <c r="R31" s="59"/>
      <c r="S31" s="58"/>
      <c r="T31" s="58"/>
      <c r="U31" s="41"/>
      <c r="V31" s="62"/>
      <c r="W31" s="62"/>
    </row>
    <row r="32" spans="1:23" ht="20.25" customHeight="1">
      <c r="A32" s="44"/>
      <c r="B32" s="65"/>
      <c r="C32" s="43"/>
      <c r="D32" s="43"/>
      <c r="E32" s="57"/>
      <c r="F32" s="66"/>
      <c r="G32" s="60"/>
      <c r="H32" s="60"/>
      <c r="I32" s="60"/>
      <c r="J32" s="60"/>
      <c r="K32" s="58"/>
      <c r="L32" s="58"/>
      <c r="M32" s="59"/>
      <c r="N32" s="59"/>
      <c r="O32" s="59"/>
      <c r="P32" s="59"/>
      <c r="Q32" s="59"/>
      <c r="R32" s="59"/>
      <c r="S32" s="58"/>
      <c r="T32" s="58"/>
      <c r="U32" s="41"/>
      <c r="V32" s="62"/>
      <c r="W32" s="62"/>
    </row>
    <row r="33" spans="1:23" ht="20.25" customHeight="1">
      <c r="A33" s="44"/>
      <c r="B33" s="65"/>
      <c r="C33" s="43"/>
      <c r="D33" s="43"/>
      <c r="E33" s="57"/>
      <c r="F33" s="66"/>
      <c r="G33" s="60"/>
      <c r="H33" s="60"/>
      <c r="I33" s="60"/>
      <c r="J33" s="60"/>
      <c r="K33" s="58"/>
      <c r="L33" s="58"/>
      <c r="M33" s="59"/>
      <c r="N33" s="59"/>
      <c r="O33" s="59"/>
      <c r="P33" s="59"/>
      <c r="Q33" s="59"/>
      <c r="R33" s="59"/>
      <c r="S33" s="58"/>
      <c r="T33" s="58"/>
      <c r="U33" s="41"/>
      <c r="V33" s="62"/>
      <c r="W33" s="62"/>
    </row>
    <row r="34" spans="1:23" ht="20.25" customHeight="1">
      <c r="A34" s="44"/>
      <c r="B34" s="65"/>
      <c r="C34" s="43"/>
      <c r="D34" s="43"/>
      <c r="E34" s="57"/>
      <c r="F34" s="66"/>
      <c r="G34" s="60"/>
      <c r="H34" s="60"/>
      <c r="I34" s="60"/>
      <c r="J34" s="60"/>
      <c r="K34" s="58"/>
      <c r="L34" s="58"/>
      <c r="M34" s="59"/>
      <c r="N34" s="59"/>
      <c r="O34" s="59"/>
      <c r="P34" s="59"/>
      <c r="Q34" s="59"/>
      <c r="R34" s="59"/>
      <c r="S34" s="58"/>
      <c r="T34" s="58"/>
      <c r="U34" s="41"/>
      <c r="V34" s="62"/>
      <c r="W34" s="62"/>
    </row>
    <row r="35" spans="1:23" ht="20.25" customHeight="1">
      <c r="A35" s="44"/>
      <c r="B35" s="65"/>
      <c r="C35" s="43"/>
      <c r="D35" s="43"/>
      <c r="E35" s="57"/>
      <c r="F35" s="66"/>
      <c r="G35" s="60"/>
      <c r="H35" s="60"/>
      <c r="I35" s="60"/>
      <c r="J35" s="60"/>
      <c r="K35" s="58"/>
      <c r="L35" s="58"/>
      <c r="M35" s="59"/>
      <c r="N35" s="59"/>
      <c r="O35" s="59"/>
      <c r="P35" s="59"/>
      <c r="Q35" s="59"/>
      <c r="R35" s="59"/>
      <c r="S35" s="58"/>
      <c r="T35" s="58"/>
      <c r="U35" s="41"/>
      <c r="V35" s="62"/>
      <c r="W35" s="62"/>
    </row>
    <row r="36" spans="1:23" ht="20.25" customHeight="1">
      <c r="A36" s="44"/>
      <c r="B36" s="65"/>
      <c r="C36" s="43"/>
      <c r="D36" s="43"/>
      <c r="E36" s="57"/>
      <c r="F36" s="66"/>
      <c r="G36" s="60"/>
      <c r="H36" s="60"/>
      <c r="I36" s="60"/>
      <c r="J36" s="60"/>
      <c r="K36" s="58"/>
      <c r="L36" s="58"/>
      <c r="M36" s="59"/>
      <c r="N36" s="59"/>
      <c r="O36" s="59"/>
      <c r="P36" s="59"/>
      <c r="Q36" s="59"/>
      <c r="R36" s="59"/>
      <c r="S36" s="58"/>
      <c r="T36" s="58"/>
      <c r="U36" s="41"/>
      <c r="V36" s="62"/>
      <c r="W36" s="62"/>
    </row>
    <row r="37" spans="1:23" ht="20.25" customHeight="1">
      <c r="A37" s="44"/>
      <c r="B37" s="65"/>
      <c r="C37" s="43"/>
      <c r="D37" s="43"/>
      <c r="E37" s="57"/>
      <c r="F37" s="66"/>
      <c r="G37" s="60"/>
      <c r="H37" s="60"/>
      <c r="I37" s="60"/>
      <c r="J37" s="68"/>
      <c r="K37" s="58"/>
      <c r="L37" s="58"/>
      <c r="M37" s="59"/>
      <c r="N37" s="59"/>
      <c r="O37" s="59"/>
      <c r="P37" s="59"/>
      <c r="Q37" s="59"/>
      <c r="R37" s="59"/>
      <c r="S37" s="58"/>
      <c r="T37" s="58"/>
      <c r="U37" s="41"/>
      <c r="V37" s="62"/>
      <c r="W37" s="62"/>
    </row>
    <row r="38" spans="1:23" ht="20.25" customHeight="1">
      <c r="A38" s="44"/>
      <c r="B38" s="65"/>
      <c r="C38" s="43"/>
      <c r="D38" s="43"/>
      <c r="E38" s="57"/>
      <c r="F38" s="66"/>
      <c r="G38" s="60"/>
      <c r="H38" s="60"/>
      <c r="I38" s="60"/>
      <c r="J38" s="68"/>
      <c r="K38" s="58"/>
      <c r="L38" s="58"/>
      <c r="M38" s="59"/>
      <c r="N38" s="59"/>
      <c r="O38" s="59"/>
      <c r="P38" s="59"/>
      <c r="Q38" s="59"/>
      <c r="R38" s="59"/>
      <c r="S38" s="58"/>
      <c r="T38" s="58"/>
      <c r="U38" s="41"/>
      <c r="V38" s="62"/>
      <c r="W38" s="62"/>
    </row>
    <row r="39" spans="1:23" ht="20.25" customHeight="1">
      <c r="A39" s="44"/>
      <c r="B39" s="65"/>
      <c r="C39" s="43"/>
      <c r="D39" s="43"/>
      <c r="E39" s="57"/>
      <c r="F39" s="66"/>
      <c r="G39" s="60"/>
      <c r="H39" s="60"/>
      <c r="I39" s="60"/>
      <c r="J39" s="67"/>
      <c r="K39" s="58"/>
      <c r="L39" s="58"/>
      <c r="M39" s="59"/>
      <c r="N39" s="59"/>
      <c r="O39" s="59"/>
      <c r="P39" s="59"/>
      <c r="Q39" s="59"/>
      <c r="R39" s="59"/>
      <c r="S39" s="58"/>
      <c r="T39" s="58"/>
      <c r="U39" s="41"/>
      <c r="V39" s="62"/>
      <c r="W39" s="62"/>
    </row>
    <row r="40" spans="1:23" ht="20.25" customHeight="1">
      <c r="A40" s="44"/>
      <c r="B40" s="65"/>
      <c r="C40" s="43"/>
      <c r="D40" s="43"/>
      <c r="E40" s="57"/>
      <c r="F40" s="60"/>
      <c r="G40" s="60"/>
      <c r="H40" s="60"/>
      <c r="I40" s="60"/>
      <c r="J40" s="67"/>
      <c r="K40" s="58"/>
      <c r="L40" s="58"/>
      <c r="M40" s="59"/>
      <c r="N40" s="59"/>
      <c r="O40" s="59"/>
      <c r="P40" s="59"/>
      <c r="Q40" s="59"/>
      <c r="R40" s="59"/>
      <c r="S40" s="58"/>
      <c r="T40" s="58"/>
      <c r="U40" s="41"/>
      <c r="V40" s="62"/>
      <c r="W40" s="62"/>
    </row>
    <row r="41" spans="1:23" ht="20.25" customHeight="1">
      <c r="A41" s="44"/>
      <c r="B41" s="65"/>
      <c r="C41" s="43"/>
      <c r="D41" s="43"/>
      <c r="E41" s="57"/>
      <c r="F41" s="60"/>
      <c r="G41" s="60"/>
      <c r="H41" s="60"/>
      <c r="I41" s="60"/>
      <c r="J41" s="67"/>
      <c r="K41" s="58"/>
      <c r="L41" s="58"/>
      <c r="M41" s="59"/>
      <c r="N41" s="59"/>
      <c r="O41" s="59"/>
      <c r="P41" s="59"/>
      <c r="Q41" s="59"/>
      <c r="R41" s="59"/>
      <c r="S41" s="58"/>
      <c r="T41" s="58"/>
      <c r="U41" s="41"/>
      <c r="V41" s="62"/>
      <c r="W41" s="62"/>
    </row>
    <row r="42" spans="1:23" ht="20.25" customHeight="1">
      <c r="A42" s="44"/>
      <c r="B42" s="65"/>
      <c r="C42" s="43"/>
      <c r="D42" s="43"/>
      <c r="E42" s="57"/>
      <c r="F42" s="60"/>
      <c r="G42" s="60"/>
      <c r="H42" s="60"/>
      <c r="I42" s="60"/>
      <c r="J42" s="67"/>
      <c r="K42" s="58"/>
      <c r="L42" s="58"/>
      <c r="M42" s="59"/>
      <c r="N42" s="59"/>
      <c r="O42" s="59"/>
      <c r="P42" s="59"/>
      <c r="Q42" s="59"/>
      <c r="R42" s="59"/>
      <c r="S42" s="58"/>
      <c r="T42" s="58"/>
      <c r="U42" s="41"/>
      <c r="V42" s="62"/>
      <c r="W42" s="62"/>
    </row>
    <row r="43" spans="1:23" ht="20.25" customHeight="1">
      <c r="A43" s="44"/>
      <c r="B43" s="65"/>
      <c r="C43" s="43"/>
      <c r="D43" s="43"/>
      <c r="E43" s="57"/>
      <c r="F43" s="60"/>
      <c r="G43" s="60"/>
      <c r="H43" s="60"/>
      <c r="I43" s="60"/>
      <c r="J43" s="67"/>
      <c r="K43" s="58"/>
      <c r="L43" s="58"/>
      <c r="M43" s="59"/>
      <c r="N43" s="59"/>
      <c r="O43" s="59"/>
      <c r="P43" s="59"/>
      <c r="Q43" s="59"/>
      <c r="R43" s="59"/>
      <c r="S43" s="58"/>
      <c r="T43" s="58"/>
      <c r="U43" s="41"/>
      <c r="V43" s="62"/>
      <c r="W43" s="62"/>
    </row>
    <row r="44" spans="1:23" ht="20.25" customHeight="1">
      <c r="A44" s="44"/>
      <c r="B44" s="65"/>
      <c r="C44" s="43"/>
      <c r="D44" s="43"/>
      <c r="E44" s="57"/>
      <c r="F44" s="60"/>
      <c r="G44" s="60"/>
      <c r="H44" s="60"/>
      <c r="I44" s="60"/>
      <c r="J44" s="67"/>
      <c r="K44" s="58"/>
      <c r="L44" s="58"/>
      <c r="M44" s="59"/>
      <c r="N44" s="59"/>
      <c r="O44" s="59"/>
      <c r="P44" s="59"/>
      <c r="Q44" s="59"/>
      <c r="R44" s="59"/>
      <c r="S44" s="58"/>
      <c r="T44" s="58"/>
      <c r="U44" s="41"/>
      <c r="V44" s="62"/>
      <c r="W44" s="62"/>
    </row>
    <row r="45" spans="1:23" ht="20.25" customHeight="1">
      <c r="A45" s="44"/>
      <c r="B45" s="65"/>
      <c r="C45" s="43"/>
      <c r="D45" s="43"/>
      <c r="E45" s="57"/>
      <c r="F45" s="60"/>
      <c r="G45" s="60"/>
      <c r="H45" s="60"/>
      <c r="I45" s="60"/>
      <c r="J45" s="67"/>
      <c r="K45" s="58"/>
      <c r="L45" s="58"/>
      <c r="M45" s="59"/>
      <c r="N45" s="59"/>
      <c r="O45" s="59"/>
      <c r="P45" s="59"/>
      <c r="Q45" s="59"/>
      <c r="R45" s="59"/>
      <c r="S45" s="58"/>
      <c r="T45" s="58"/>
      <c r="U45" s="41"/>
      <c r="V45" s="62"/>
      <c r="W45" s="62"/>
    </row>
    <row r="46" spans="1:23" ht="20.25" customHeight="1">
      <c r="A46" s="44"/>
      <c r="B46" s="65"/>
      <c r="C46" s="43"/>
      <c r="D46" s="43"/>
      <c r="E46" s="57"/>
      <c r="F46" s="60"/>
      <c r="G46" s="60"/>
      <c r="H46" s="60"/>
      <c r="I46" s="60"/>
      <c r="J46" s="68"/>
      <c r="K46" s="58"/>
      <c r="L46" s="58"/>
      <c r="M46" s="59"/>
      <c r="N46" s="59"/>
      <c r="O46" s="59"/>
      <c r="P46" s="59"/>
      <c r="Q46" s="59"/>
      <c r="R46" s="59"/>
      <c r="S46" s="58"/>
      <c r="T46" s="58"/>
      <c r="U46" s="41"/>
      <c r="V46" s="62"/>
      <c r="W46" s="62"/>
    </row>
    <row r="47" spans="1:23" ht="20.25" customHeight="1">
      <c r="A47" s="44"/>
      <c r="B47" s="65"/>
      <c r="C47" s="43"/>
      <c r="D47" s="43"/>
      <c r="E47" s="57"/>
      <c r="F47" s="60"/>
      <c r="G47" s="60"/>
      <c r="H47" s="60"/>
      <c r="I47" s="60"/>
      <c r="J47" s="67"/>
      <c r="K47" s="58"/>
      <c r="L47" s="58"/>
      <c r="M47" s="59"/>
      <c r="N47" s="59"/>
      <c r="O47" s="59"/>
      <c r="P47" s="59"/>
      <c r="Q47" s="59"/>
      <c r="R47" s="59"/>
      <c r="S47" s="58"/>
      <c r="T47" s="58"/>
      <c r="U47" s="41"/>
      <c r="V47" s="62"/>
      <c r="W47" s="62"/>
    </row>
    <row r="48" spans="1:23" ht="20.25" customHeight="1">
      <c r="A48" s="44"/>
      <c r="B48" s="65"/>
      <c r="C48" s="43"/>
      <c r="D48" s="43"/>
      <c r="E48" s="57"/>
      <c r="F48" s="60"/>
      <c r="G48" s="60"/>
      <c r="H48" s="60"/>
      <c r="I48" s="60"/>
      <c r="J48" s="67"/>
      <c r="K48" s="58"/>
      <c r="L48" s="58"/>
      <c r="M48" s="59"/>
      <c r="N48" s="59"/>
      <c r="O48" s="59"/>
      <c r="P48" s="59"/>
      <c r="Q48" s="59"/>
      <c r="R48" s="59"/>
      <c r="S48" s="58"/>
      <c r="T48" s="58"/>
      <c r="U48" s="41"/>
      <c r="V48" s="62"/>
      <c r="W48" s="62"/>
    </row>
    <row r="49" spans="1:23" ht="20.25" customHeight="1">
      <c r="A49" s="44"/>
      <c r="B49" s="65"/>
      <c r="C49" s="43"/>
      <c r="D49" s="43"/>
      <c r="E49" s="57"/>
      <c r="F49" s="60"/>
      <c r="G49" s="60"/>
      <c r="H49" s="60"/>
      <c r="I49" s="60"/>
      <c r="J49" s="67"/>
      <c r="K49" s="58"/>
      <c r="L49" s="58"/>
      <c r="M49" s="59"/>
      <c r="N49" s="59"/>
      <c r="O49" s="59"/>
      <c r="P49" s="59"/>
      <c r="Q49" s="59"/>
      <c r="R49" s="59"/>
      <c r="S49" s="58"/>
      <c r="T49" s="58"/>
      <c r="U49" s="41"/>
      <c r="V49" s="62"/>
      <c r="W49" s="62"/>
    </row>
    <row r="50" spans="1:23" ht="20.25" customHeight="1">
      <c r="A50" s="44"/>
      <c r="B50" s="65"/>
      <c r="C50" s="43"/>
      <c r="D50" s="43"/>
      <c r="E50" s="57"/>
      <c r="F50" s="60"/>
      <c r="G50" s="60"/>
      <c r="H50" s="60"/>
      <c r="I50" s="60"/>
      <c r="J50" s="67"/>
      <c r="K50" s="58"/>
      <c r="L50" s="58"/>
      <c r="M50" s="59"/>
      <c r="N50" s="59"/>
      <c r="O50" s="59"/>
      <c r="P50" s="59"/>
      <c r="Q50" s="59"/>
      <c r="R50" s="59"/>
      <c r="S50" s="58"/>
      <c r="T50" s="58"/>
      <c r="U50" s="41"/>
      <c r="V50" s="62"/>
      <c r="W50" s="62"/>
    </row>
    <row r="51" spans="1:23" ht="20.25" customHeight="1">
      <c r="A51" s="44"/>
      <c r="B51" s="65"/>
      <c r="C51" s="43"/>
      <c r="D51" s="43"/>
      <c r="E51" s="57"/>
      <c r="F51" s="60"/>
      <c r="G51" s="60"/>
      <c r="H51" s="60"/>
      <c r="I51" s="60"/>
      <c r="J51" s="67"/>
      <c r="K51" s="58"/>
      <c r="L51" s="58"/>
      <c r="M51" s="59"/>
      <c r="N51" s="59"/>
      <c r="O51" s="59"/>
      <c r="P51" s="59"/>
      <c r="Q51" s="59"/>
      <c r="R51" s="59"/>
      <c r="S51" s="58"/>
      <c r="T51" s="58"/>
      <c r="U51" s="41"/>
      <c r="V51" s="62"/>
      <c r="W51" s="62"/>
    </row>
    <row r="52" spans="1:23" ht="20.25" customHeight="1">
      <c r="A52" s="44"/>
      <c r="B52" s="65"/>
      <c r="C52" s="43"/>
      <c r="D52" s="43"/>
      <c r="E52" s="57"/>
      <c r="F52" s="60"/>
      <c r="G52" s="60"/>
      <c r="H52" s="60"/>
      <c r="I52" s="60"/>
      <c r="J52" s="67"/>
      <c r="K52" s="58"/>
      <c r="L52" s="58"/>
      <c r="M52" s="59"/>
      <c r="N52" s="59"/>
      <c r="O52" s="59"/>
      <c r="P52" s="59"/>
      <c r="Q52" s="59"/>
      <c r="R52" s="59"/>
      <c r="S52" s="58"/>
      <c r="T52" s="58"/>
      <c r="U52" s="41"/>
      <c r="V52" s="62"/>
      <c r="W52" s="62"/>
    </row>
    <row r="53" spans="1:23" ht="20.25" customHeight="1">
      <c r="A53" s="44"/>
      <c r="B53" s="65"/>
      <c r="C53" s="43"/>
      <c r="D53" s="43"/>
      <c r="E53" s="57"/>
      <c r="F53" s="60"/>
      <c r="G53" s="60"/>
      <c r="H53" s="60"/>
      <c r="I53" s="60"/>
      <c r="J53" s="67"/>
      <c r="K53" s="58"/>
      <c r="L53" s="58"/>
      <c r="M53" s="59"/>
      <c r="N53" s="59"/>
      <c r="O53" s="59"/>
      <c r="P53" s="59"/>
      <c r="Q53" s="59"/>
      <c r="R53" s="59"/>
      <c r="S53" s="58"/>
      <c r="T53" s="58"/>
      <c r="U53" s="41"/>
      <c r="V53" s="62"/>
      <c r="W53" s="62"/>
    </row>
    <row r="54" spans="1:23" ht="20.25" customHeight="1">
      <c r="A54" s="44"/>
      <c r="B54" s="65"/>
      <c r="C54" s="43"/>
      <c r="D54" s="43"/>
      <c r="E54" s="57"/>
      <c r="F54" s="60"/>
      <c r="G54" s="60"/>
      <c r="H54" s="60"/>
      <c r="I54" s="60"/>
      <c r="J54" s="67"/>
      <c r="K54" s="58"/>
      <c r="L54" s="58"/>
      <c r="M54" s="59"/>
      <c r="N54" s="59"/>
      <c r="O54" s="59"/>
      <c r="P54" s="59"/>
      <c r="Q54" s="59"/>
      <c r="R54" s="59"/>
      <c r="S54" s="58"/>
      <c r="T54" s="58"/>
      <c r="U54" s="41"/>
      <c r="V54" s="62"/>
      <c r="W54" s="62"/>
    </row>
    <row r="55" spans="1:23" ht="20.25" customHeight="1">
      <c r="A55" s="44"/>
      <c r="B55" s="65"/>
      <c r="C55" s="43"/>
      <c r="D55" s="43"/>
      <c r="E55" s="57"/>
      <c r="F55" s="60"/>
      <c r="G55" s="60"/>
      <c r="H55" s="60"/>
      <c r="I55" s="60"/>
      <c r="J55" s="67"/>
      <c r="K55" s="58"/>
      <c r="L55" s="58"/>
      <c r="M55" s="59"/>
      <c r="N55" s="59"/>
      <c r="O55" s="59"/>
      <c r="P55" s="59"/>
      <c r="Q55" s="59"/>
      <c r="R55" s="59"/>
      <c r="S55" s="58"/>
      <c r="T55" s="58"/>
      <c r="U55" s="41"/>
      <c r="V55" s="62"/>
      <c r="W55" s="62"/>
    </row>
    <row r="56" spans="1:23" ht="20.25" customHeight="1">
      <c r="A56" s="44"/>
      <c r="B56" s="65"/>
      <c r="C56" s="43"/>
      <c r="D56" s="43"/>
      <c r="E56" s="57"/>
      <c r="F56" s="60"/>
      <c r="G56" s="60"/>
      <c r="H56" s="60"/>
      <c r="I56" s="60"/>
      <c r="J56" s="68"/>
      <c r="K56" s="58"/>
      <c r="L56" s="58"/>
      <c r="M56" s="59"/>
      <c r="N56" s="59"/>
      <c r="O56" s="59"/>
      <c r="P56" s="59"/>
      <c r="Q56" s="59"/>
      <c r="R56" s="59"/>
      <c r="S56" s="58"/>
      <c r="T56" s="58"/>
      <c r="U56" s="41"/>
      <c r="V56" s="62"/>
      <c r="W56" s="62"/>
    </row>
    <row r="57" spans="1:23" ht="20.25" customHeight="1">
      <c r="A57" s="44"/>
      <c r="B57" s="65"/>
      <c r="C57" s="43"/>
      <c r="D57" s="43"/>
      <c r="E57" s="57"/>
      <c r="F57" s="60"/>
      <c r="G57" s="60"/>
      <c r="H57" s="60"/>
      <c r="I57" s="60"/>
      <c r="J57" s="67"/>
      <c r="K57" s="58"/>
      <c r="L57" s="58"/>
      <c r="M57" s="59"/>
      <c r="N57" s="59"/>
      <c r="O57" s="59"/>
      <c r="P57" s="59"/>
      <c r="Q57" s="59"/>
      <c r="R57" s="59"/>
      <c r="S57" s="58"/>
      <c r="T57" s="58"/>
      <c r="U57" s="41"/>
      <c r="V57" s="62"/>
      <c r="W57" s="62"/>
    </row>
    <row r="58" spans="1:23" ht="20.25" customHeight="1">
      <c r="A58" s="44"/>
      <c r="B58" s="65"/>
      <c r="C58" s="43"/>
      <c r="D58" s="43"/>
      <c r="E58" s="57"/>
      <c r="F58" s="60"/>
      <c r="G58" s="60"/>
      <c r="H58" s="60"/>
      <c r="I58" s="60"/>
      <c r="J58" s="68"/>
      <c r="K58" s="58"/>
      <c r="L58" s="58"/>
      <c r="M58" s="59"/>
      <c r="N58" s="59"/>
      <c r="O58" s="59"/>
      <c r="P58" s="59"/>
      <c r="Q58" s="59"/>
      <c r="R58" s="59"/>
      <c r="S58" s="58"/>
      <c r="T58" s="58"/>
      <c r="U58" s="41"/>
      <c r="V58" s="62"/>
      <c r="W58" s="62"/>
    </row>
    <row r="59" spans="1:23" ht="20.25" customHeight="1">
      <c r="A59" s="44"/>
      <c r="B59" s="65"/>
      <c r="C59" s="43"/>
      <c r="D59" s="43"/>
      <c r="E59" s="57"/>
      <c r="F59" s="60"/>
      <c r="G59" s="60"/>
      <c r="H59" s="60"/>
      <c r="I59" s="60"/>
      <c r="J59" s="67"/>
      <c r="K59" s="58"/>
      <c r="L59" s="58"/>
      <c r="M59" s="59"/>
      <c r="N59" s="59"/>
      <c r="O59" s="59"/>
      <c r="P59" s="59"/>
      <c r="Q59" s="59"/>
      <c r="R59" s="59"/>
      <c r="S59" s="58"/>
      <c r="T59" s="58"/>
      <c r="U59" s="41"/>
      <c r="V59" s="62"/>
      <c r="W59" s="62"/>
    </row>
    <row r="60" spans="1:23" ht="20.25" customHeight="1">
      <c r="A60" s="44"/>
      <c r="B60" s="65"/>
      <c r="C60" s="43"/>
      <c r="D60" s="43"/>
      <c r="E60" s="57"/>
      <c r="F60" s="60"/>
      <c r="G60" s="60"/>
      <c r="H60" s="60"/>
      <c r="I60" s="60"/>
      <c r="J60" s="68"/>
      <c r="K60" s="58"/>
      <c r="L60" s="58"/>
      <c r="M60" s="59"/>
      <c r="N60" s="59"/>
      <c r="O60" s="59"/>
      <c r="P60" s="59"/>
      <c r="Q60" s="59"/>
      <c r="R60" s="59"/>
      <c r="S60" s="58"/>
      <c r="T60" s="58"/>
      <c r="U60" s="41"/>
      <c r="V60" s="62"/>
      <c r="W60" s="62"/>
    </row>
    <row r="61" spans="1:23" ht="20.25" customHeight="1">
      <c r="A61" s="44"/>
      <c r="B61" s="65"/>
      <c r="C61" s="43"/>
      <c r="D61" s="43"/>
      <c r="E61" s="57"/>
      <c r="F61" s="60"/>
      <c r="G61" s="60"/>
      <c r="H61" s="60"/>
      <c r="I61" s="60"/>
      <c r="J61" s="68"/>
      <c r="K61" s="58"/>
      <c r="L61" s="58"/>
      <c r="M61" s="59"/>
      <c r="N61" s="59"/>
      <c r="O61" s="59"/>
      <c r="P61" s="59"/>
      <c r="Q61" s="59"/>
      <c r="R61" s="59"/>
      <c r="S61" s="58"/>
      <c r="T61" s="58"/>
      <c r="U61" s="41"/>
      <c r="V61" s="62"/>
      <c r="W61" s="62"/>
    </row>
    <row r="62" spans="1:23" ht="20.25" customHeight="1">
      <c r="A62" s="44"/>
      <c r="B62" s="65"/>
      <c r="C62" s="43"/>
      <c r="D62" s="43"/>
      <c r="E62" s="57"/>
      <c r="F62" s="60"/>
      <c r="G62" s="60"/>
      <c r="H62" s="60"/>
      <c r="I62" s="60"/>
      <c r="J62" s="68"/>
      <c r="K62" s="58"/>
      <c r="L62" s="58"/>
      <c r="M62" s="59"/>
      <c r="N62" s="59"/>
      <c r="O62" s="59"/>
      <c r="P62" s="59"/>
      <c r="Q62" s="59"/>
      <c r="R62" s="59"/>
      <c r="S62" s="58"/>
      <c r="T62" s="58"/>
      <c r="U62" s="41"/>
      <c r="V62" s="62"/>
      <c r="W62" s="62"/>
    </row>
    <row r="63" spans="1:23" ht="20.25" customHeight="1">
      <c r="A63" s="44"/>
      <c r="B63" s="65"/>
      <c r="C63" s="43"/>
      <c r="D63" s="43"/>
      <c r="E63" s="57"/>
      <c r="F63" s="60"/>
      <c r="G63" s="60"/>
      <c r="H63" s="60"/>
      <c r="I63" s="60"/>
      <c r="J63" s="68"/>
      <c r="K63" s="58"/>
      <c r="L63" s="58"/>
      <c r="M63" s="59"/>
      <c r="N63" s="59"/>
      <c r="O63" s="59"/>
      <c r="P63" s="59"/>
      <c r="Q63" s="59"/>
      <c r="R63" s="59"/>
      <c r="S63" s="58"/>
      <c r="T63" s="58"/>
      <c r="U63" s="41"/>
      <c r="V63" s="62"/>
      <c r="W63" s="62"/>
    </row>
    <row r="64" spans="1:23" ht="20.25" customHeight="1">
      <c r="A64" s="44"/>
      <c r="B64" s="65"/>
      <c r="C64" s="43"/>
      <c r="D64" s="43"/>
      <c r="E64" s="57"/>
      <c r="F64" s="60"/>
      <c r="G64" s="60"/>
      <c r="H64" s="60"/>
      <c r="I64" s="60"/>
      <c r="J64" s="68"/>
      <c r="K64" s="58"/>
      <c r="L64" s="58"/>
      <c r="M64" s="59"/>
      <c r="N64" s="59"/>
      <c r="O64" s="59"/>
      <c r="P64" s="59"/>
      <c r="Q64" s="59"/>
      <c r="R64" s="59"/>
      <c r="S64" s="58"/>
      <c r="T64" s="58"/>
      <c r="U64" s="41"/>
      <c r="V64" s="62"/>
      <c r="W64" s="62"/>
    </row>
    <row r="65" spans="1:23" ht="20.25" customHeight="1">
      <c r="A65" s="44"/>
      <c r="B65" s="65"/>
      <c r="C65" s="43"/>
      <c r="D65" s="43"/>
      <c r="E65" s="57"/>
      <c r="F65" s="60"/>
      <c r="G65" s="60"/>
      <c r="H65" s="60"/>
      <c r="I65" s="60"/>
      <c r="J65" s="68"/>
      <c r="K65" s="58"/>
      <c r="L65" s="58"/>
      <c r="M65" s="59"/>
      <c r="N65" s="59"/>
      <c r="O65" s="59"/>
      <c r="P65" s="59"/>
      <c r="Q65" s="59"/>
      <c r="R65" s="59"/>
      <c r="S65" s="58"/>
      <c r="T65" s="58"/>
      <c r="U65" s="41"/>
      <c r="V65" s="62"/>
      <c r="W65" s="62"/>
    </row>
    <row r="66" spans="1:23" ht="20.25" customHeight="1">
      <c r="A66" s="44"/>
      <c r="B66" s="65"/>
      <c r="C66" s="43"/>
      <c r="D66" s="43"/>
      <c r="E66" s="57"/>
      <c r="F66" s="60"/>
      <c r="G66" s="60"/>
      <c r="H66" s="60"/>
      <c r="I66" s="60"/>
      <c r="J66" s="68"/>
      <c r="K66" s="58"/>
      <c r="L66" s="58"/>
      <c r="M66" s="59"/>
      <c r="N66" s="59"/>
      <c r="O66" s="59"/>
      <c r="P66" s="59"/>
      <c r="Q66" s="59"/>
      <c r="R66" s="59"/>
      <c r="S66" s="58"/>
      <c r="T66" s="58"/>
      <c r="U66" s="41"/>
      <c r="V66" s="62"/>
      <c r="W66" s="62"/>
    </row>
    <row r="67" spans="1:23" ht="20.25" customHeight="1">
      <c r="A67" s="44"/>
      <c r="B67" s="65"/>
      <c r="C67" s="43"/>
      <c r="D67" s="43"/>
      <c r="E67" s="57"/>
      <c r="F67" s="60"/>
      <c r="G67" s="60"/>
      <c r="H67" s="60"/>
      <c r="I67" s="60"/>
      <c r="J67" s="68"/>
      <c r="K67" s="58"/>
      <c r="L67" s="58"/>
      <c r="M67" s="59"/>
      <c r="N67" s="59"/>
      <c r="O67" s="59"/>
      <c r="P67" s="59"/>
      <c r="Q67" s="59"/>
      <c r="R67" s="59"/>
      <c r="S67" s="58"/>
      <c r="T67" s="58"/>
      <c r="U67" s="41"/>
      <c r="V67" s="62"/>
      <c r="W67" s="62"/>
    </row>
    <row r="68" spans="1:23" ht="20.25" customHeight="1">
      <c r="A68" s="44"/>
      <c r="B68" s="65"/>
      <c r="C68" s="43"/>
      <c r="D68" s="43"/>
      <c r="E68" s="57"/>
      <c r="F68" s="60"/>
      <c r="G68" s="60"/>
      <c r="H68" s="60"/>
      <c r="I68" s="60"/>
      <c r="J68" s="67"/>
      <c r="K68" s="58"/>
      <c r="L68" s="58"/>
      <c r="M68" s="59"/>
      <c r="N68" s="59"/>
      <c r="O68" s="59"/>
      <c r="P68" s="59"/>
      <c r="Q68" s="59"/>
      <c r="R68" s="59"/>
      <c r="S68" s="58"/>
      <c r="T68" s="58"/>
      <c r="U68" s="41"/>
      <c r="V68" s="62"/>
      <c r="W68" s="62"/>
    </row>
    <row r="69" spans="1:23" ht="20.25" customHeight="1">
      <c r="A69" s="44"/>
      <c r="B69" s="65"/>
      <c r="C69" s="43"/>
      <c r="D69" s="43"/>
      <c r="E69" s="57"/>
      <c r="F69" s="60"/>
      <c r="G69" s="60"/>
      <c r="H69" s="60"/>
      <c r="I69" s="60"/>
      <c r="J69" s="67"/>
      <c r="K69" s="58"/>
      <c r="L69" s="58"/>
      <c r="M69" s="59"/>
      <c r="N69" s="59"/>
      <c r="O69" s="59"/>
      <c r="P69" s="59"/>
      <c r="Q69" s="59"/>
      <c r="R69" s="59"/>
      <c r="S69" s="58"/>
      <c r="T69" s="58"/>
      <c r="U69" s="41"/>
      <c r="V69" s="62"/>
      <c r="W69" s="62"/>
    </row>
    <row r="70" spans="1:23" ht="20.25" customHeight="1">
      <c r="A70" s="44"/>
      <c r="B70" s="65"/>
      <c r="C70" s="43"/>
      <c r="D70" s="43"/>
      <c r="E70" s="57"/>
      <c r="F70" s="60"/>
      <c r="G70" s="60"/>
      <c r="H70" s="60"/>
      <c r="I70" s="60"/>
      <c r="J70" s="67"/>
      <c r="K70" s="58"/>
      <c r="L70" s="58"/>
      <c r="M70" s="59"/>
      <c r="N70" s="59"/>
      <c r="O70" s="59"/>
      <c r="P70" s="59"/>
      <c r="Q70" s="59"/>
      <c r="R70" s="59"/>
      <c r="S70" s="58"/>
      <c r="T70" s="58"/>
      <c r="U70" s="41"/>
      <c r="V70" s="62"/>
      <c r="W70" s="62"/>
    </row>
    <row r="71" spans="1:23" ht="20.25" customHeight="1">
      <c r="A71" s="44"/>
      <c r="B71" s="65"/>
      <c r="C71" s="43"/>
      <c r="D71" s="43"/>
      <c r="E71" s="57"/>
      <c r="F71" s="60"/>
      <c r="G71" s="60"/>
      <c r="H71" s="60"/>
      <c r="I71" s="60"/>
      <c r="J71" s="67"/>
      <c r="K71" s="58"/>
      <c r="L71" s="58"/>
      <c r="M71" s="59"/>
      <c r="N71" s="59"/>
      <c r="O71" s="59"/>
      <c r="P71" s="59"/>
      <c r="Q71" s="59"/>
      <c r="R71" s="59"/>
      <c r="S71" s="58"/>
      <c r="T71" s="58"/>
      <c r="U71" s="41"/>
      <c r="V71" s="62"/>
      <c r="W71" s="62"/>
    </row>
    <row r="72" spans="1:23" ht="20.25" customHeight="1">
      <c r="A72" s="44"/>
      <c r="B72" s="65"/>
      <c r="C72" s="39"/>
      <c r="D72" s="39"/>
      <c r="E72" s="57"/>
      <c r="F72" s="60"/>
      <c r="G72" s="60"/>
      <c r="H72" s="60"/>
      <c r="I72" s="60"/>
      <c r="J72" s="67"/>
      <c r="K72" s="58"/>
      <c r="L72" s="58"/>
      <c r="M72" s="59"/>
      <c r="N72" s="59"/>
      <c r="O72" s="59"/>
      <c r="P72" s="59"/>
      <c r="Q72" s="59"/>
      <c r="R72" s="59"/>
      <c r="S72" s="58"/>
      <c r="T72" s="58"/>
      <c r="U72" s="41"/>
      <c r="V72" s="62"/>
      <c r="W72" s="62"/>
    </row>
    <row r="73" spans="1:23" ht="20.25" customHeight="1">
      <c r="A73" s="44"/>
      <c r="B73" s="65"/>
      <c r="C73" s="39"/>
      <c r="D73" s="39"/>
      <c r="E73" s="57"/>
      <c r="F73" s="66"/>
      <c r="G73" s="66"/>
      <c r="H73" s="66"/>
      <c r="I73" s="66"/>
      <c r="J73" s="66"/>
      <c r="K73" s="58"/>
      <c r="L73" s="58"/>
      <c r="M73" s="59"/>
      <c r="N73" s="59"/>
      <c r="O73" s="59"/>
      <c r="P73" s="59"/>
      <c r="Q73" s="59"/>
      <c r="R73" s="59"/>
      <c r="S73" s="58"/>
      <c r="T73" s="58"/>
      <c r="U73" s="41"/>
      <c r="V73" s="62"/>
      <c r="W73" s="41"/>
    </row>
    <row r="74" spans="1:23" ht="20.25" customHeight="1">
      <c r="A74" s="44"/>
      <c r="B74" s="65"/>
      <c r="C74" s="38"/>
      <c r="D74" s="38"/>
      <c r="E74" s="57"/>
      <c r="F74" s="66"/>
      <c r="G74" s="66"/>
      <c r="H74" s="66"/>
      <c r="I74" s="66"/>
      <c r="J74" s="66"/>
      <c r="K74" s="58"/>
      <c r="L74" s="58"/>
      <c r="M74" s="59"/>
      <c r="N74" s="59"/>
      <c r="O74" s="59"/>
      <c r="P74" s="59"/>
      <c r="Q74" s="59"/>
      <c r="R74" s="59"/>
      <c r="S74" s="58"/>
      <c r="T74" s="58"/>
      <c r="U74" s="41"/>
      <c r="V74" s="62"/>
      <c r="W74" s="41"/>
    </row>
    <row r="75" spans="1:23" ht="20.25" customHeight="1">
      <c r="A75" s="44"/>
      <c r="B75" s="65"/>
      <c r="C75" s="39"/>
      <c r="D75" s="39"/>
      <c r="E75" s="57"/>
      <c r="F75" s="66"/>
      <c r="G75" s="66"/>
      <c r="H75" s="66"/>
      <c r="I75" s="66"/>
      <c r="J75" s="67"/>
      <c r="K75" s="58"/>
      <c r="L75" s="58"/>
      <c r="M75" s="59"/>
      <c r="N75" s="59"/>
      <c r="O75" s="59"/>
      <c r="P75" s="59"/>
      <c r="Q75" s="59"/>
      <c r="R75" s="59"/>
      <c r="S75" s="58"/>
      <c r="T75" s="58"/>
      <c r="U75" s="41"/>
      <c r="V75" s="41"/>
      <c r="W75" s="41"/>
    </row>
    <row r="76" spans="1:23" ht="20.25" customHeight="1">
      <c r="A76" s="44"/>
      <c r="B76" s="65"/>
      <c r="C76" s="39"/>
      <c r="D76" s="39"/>
      <c r="E76" s="57"/>
      <c r="F76" s="66"/>
      <c r="G76" s="66"/>
      <c r="H76" s="66"/>
      <c r="I76" s="66"/>
      <c r="J76" s="66"/>
      <c r="K76" s="58"/>
      <c r="L76" s="58"/>
      <c r="M76" s="59"/>
      <c r="N76" s="59"/>
      <c r="O76" s="59"/>
      <c r="P76" s="59"/>
      <c r="Q76" s="59"/>
      <c r="R76" s="59"/>
      <c r="S76" s="58"/>
      <c r="T76" s="58"/>
      <c r="U76" s="41"/>
      <c r="V76" s="41"/>
      <c r="W76" s="41"/>
    </row>
    <row r="77" spans="1:23" ht="20.25" customHeight="1">
      <c r="A77" s="44"/>
      <c r="B77" s="65"/>
      <c r="C77" s="39"/>
      <c r="D77" s="39"/>
      <c r="E77" s="57"/>
      <c r="F77" s="66"/>
      <c r="G77" s="66"/>
      <c r="H77" s="66"/>
      <c r="I77" s="66"/>
      <c r="J77" s="66"/>
      <c r="K77" s="58"/>
      <c r="L77" s="58"/>
      <c r="M77" s="59"/>
      <c r="N77" s="59"/>
      <c r="O77" s="59"/>
      <c r="P77" s="59"/>
      <c r="Q77" s="59"/>
      <c r="R77" s="59"/>
      <c r="S77" s="58"/>
      <c r="T77" s="58"/>
      <c r="U77" s="41"/>
      <c r="V77" s="41"/>
      <c r="W77" s="41"/>
    </row>
    <row r="78" spans="1:23" ht="20.25" customHeight="1">
      <c r="A78" s="44"/>
      <c r="B78" s="65"/>
      <c r="C78" s="39"/>
      <c r="D78" s="39"/>
      <c r="E78" s="57"/>
      <c r="F78" s="66"/>
      <c r="G78" s="66"/>
      <c r="H78" s="66"/>
      <c r="I78" s="66"/>
      <c r="J78" s="66"/>
      <c r="K78" s="58"/>
      <c r="L78" s="58"/>
      <c r="M78" s="59"/>
      <c r="N78" s="59"/>
      <c r="O78" s="59"/>
      <c r="P78" s="59"/>
      <c r="Q78" s="59"/>
      <c r="R78" s="59"/>
      <c r="S78" s="58"/>
      <c r="T78" s="58"/>
      <c r="U78" s="41"/>
      <c r="V78" s="41"/>
      <c r="W78" s="41"/>
    </row>
    <row r="79" spans="1:23" ht="20.25" customHeight="1">
      <c r="A79" s="44"/>
      <c r="B79" s="65"/>
      <c r="C79" s="39"/>
      <c r="D79" s="39"/>
      <c r="E79" s="57"/>
      <c r="F79" s="66"/>
      <c r="G79" s="66"/>
      <c r="H79" s="66"/>
      <c r="I79" s="66"/>
      <c r="J79" s="67"/>
      <c r="K79" s="58"/>
      <c r="L79" s="58"/>
      <c r="M79" s="59"/>
      <c r="N79" s="59"/>
      <c r="O79" s="59"/>
      <c r="P79" s="59"/>
      <c r="Q79" s="59"/>
      <c r="R79" s="59"/>
      <c r="S79" s="58"/>
      <c r="T79" s="58"/>
      <c r="U79" s="41"/>
      <c r="V79" s="41"/>
      <c r="W79" s="41"/>
    </row>
    <row r="80" spans="1:23" ht="20.25" customHeight="1">
      <c r="A80" s="44"/>
      <c r="B80" s="65"/>
      <c r="C80" s="39"/>
      <c r="D80" s="39"/>
      <c r="E80" s="57"/>
      <c r="F80" s="66"/>
      <c r="G80" s="66"/>
      <c r="H80" s="66"/>
      <c r="I80" s="66"/>
      <c r="J80" s="67"/>
      <c r="K80" s="58"/>
      <c r="L80" s="58"/>
      <c r="M80" s="59"/>
      <c r="N80" s="59"/>
      <c r="O80" s="59"/>
      <c r="P80" s="59"/>
      <c r="Q80" s="59"/>
      <c r="R80" s="59"/>
      <c r="S80" s="58"/>
      <c r="T80" s="58"/>
      <c r="U80" s="41"/>
      <c r="V80" s="41"/>
      <c r="W80" s="41"/>
    </row>
    <row r="81" spans="1:20" ht="20.25" customHeight="1">
      <c r="A81" s="44"/>
      <c r="B81" s="65"/>
      <c r="C81" s="39"/>
      <c r="D81" s="39"/>
      <c r="E81" s="57"/>
      <c r="F81" s="66"/>
      <c r="G81" s="66"/>
      <c r="H81" s="66"/>
      <c r="I81" s="66"/>
      <c r="J81" s="67"/>
      <c r="K81" s="58"/>
      <c r="L81" s="58"/>
      <c r="M81" s="59"/>
      <c r="N81" s="59"/>
      <c r="O81" s="59"/>
      <c r="P81" s="59"/>
      <c r="Q81" s="59"/>
      <c r="R81" s="59"/>
      <c r="S81" s="58"/>
      <c r="T81" s="58"/>
    </row>
    <row r="82" spans="1:20" ht="20.25" customHeight="1">
      <c r="A82" s="44"/>
      <c r="B82" s="65"/>
      <c r="C82" s="39"/>
      <c r="D82" s="39"/>
      <c r="E82" s="57"/>
      <c r="F82" s="66"/>
      <c r="G82" s="66"/>
      <c r="H82" s="66"/>
      <c r="I82" s="66"/>
      <c r="J82" s="67"/>
      <c r="K82" s="58"/>
      <c r="L82" s="58"/>
      <c r="M82" s="59"/>
      <c r="N82" s="59"/>
      <c r="O82" s="59"/>
      <c r="P82" s="59"/>
      <c r="Q82" s="59"/>
      <c r="R82" s="59"/>
      <c r="S82" s="58"/>
      <c r="T82" s="58"/>
    </row>
    <row r="83" spans="1:20" ht="20.25" customHeight="1">
      <c r="A83" s="44"/>
      <c r="B83" s="65"/>
      <c r="C83" s="39"/>
      <c r="D83" s="39"/>
      <c r="E83" s="57"/>
      <c r="F83" s="66"/>
      <c r="G83" s="66"/>
      <c r="H83" s="66"/>
      <c r="I83" s="66"/>
      <c r="J83" s="67"/>
      <c r="K83" s="58"/>
      <c r="L83" s="58"/>
      <c r="M83" s="59"/>
      <c r="N83" s="59"/>
      <c r="O83" s="59"/>
      <c r="P83" s="59"/>
      <c r="Q83" s="59"/>
      <c r="R83" s="59"/>
      <c r="S83" s="58"/>
      <c r="T83" s="58"/>
    </row>
    <row r="84" spans="1:20" ht="20.25" customHeight="1">
      <c r="A84" s="44"/>
      <c r="B84" s="65"/>
      <c r="C84" s="39"/>
      <c r="D84" s="39"/>
      <c r="E84" s="57"/>
      <c r="F84" s="66"/>
      <c r="G84" s="66"/>
      <c r="H84" s="66"/>
      <c r="I84" s="66"/>
      <c r="J84" s="67"/>
      <c r="K84" s="58"/>
      <c r="L84" s="58"/>
      <c r="M84" s="59"/>
      <c r="N84" s="59"/>
      <c r="O84" s="59"/>
      <c r="P84" s="59"/>
      <c r="Q84" s="59"/>
      <c r="R84" s="59"/>
      <c r="S84" s="58"/>
      <c r="T84" s="58"/>
    </row>
    <row r="85" spans="1:20" ht="20.25" customHeight="1">
      <c r="A85" s="44"/>
      <c r="B85" s="65"/>
      <c r="C85" s="45"/>
      <c r="D85" s="45"/>
      <c r="E85" s="57"/>
      <c r="F85" s="66"/>
      <c r="G85" s="66"/>
      <c r="H85" s="66"/>
      <c r="I85" s="66"/>
      <c r="J85" s="67"/>
      <c r="K85" s="58"/>
      <c r="L85" s="58"/>
      <c r="M85" s="59"/>
      <c r="N85" s="59"/>
      <c r="O85" s="59"/>
      <c r="P85" s="59"/>
      <c r="Q85" s="59"/>
      <c r="R85" s="59"/>
      <c r="S85" s="58"/>
      <c r="T85" s="58"/>
    </row>
    <row r="86" spans="1:20" ht="20.25" customHeight="1">
      <c r="A86" s="44"/>
      <c r="B86" s="65"/>
      <c r="C86" s="45"/>
      <c r="D86" s="45"/>
      <c r="E86" s="57"/>
      <c r="F86" s="66"/>
      <c r="G86" s="66"/>
      <c r="H86" s="66"/>
      <c r="I86" s="66"/>
      <c r="J86" s="67"/>
      <c r="K86" s="58"/>
      <c r="L86" s="58"/>
      <c r="M86" s="59"/>
      <c r="N86" s="59"/>
      <c r="O86" s="59"/>
      <c r="P86" s="59"/>
      <c r="Q86" s="59"/>
      <c r="R86" s="59"/>
      <c r="S86" s="58"/>
      <c r="T86" s="58"/>
    </row>
    <row r="87" spans="1:20" ht="20.25" customHeight="1">
      <c r="A87" s="44"/>
      <c r="B87" s="65"/>
      <c r="C87" s="45"/>
      <c r="D87" s="45"/>
      <c r="E87" s="57"/>
      <c r="F87" s="66"/>
      <c r="G87" s="66"/>
      <c r="H87" s="66"/>
      <c r="I87" s="66"/>
      <c r="J87" s="67"/>
      <c r="K87" s="58"/>
      <c r="L87" s="58"/>
      <c r="M87" s="59"/>
      <c r="N87" s="59"/>
      <c r="O87" s="59"/>
      <c r="P87" s="59"/>
      <c r="Q87" s="59"/>
      <c r="R87" s="59"/>
      <c r="S87" s="58"/>
      <c r="T87" s="58"/>
    </row>
    <row r="88" spans="1:20" ht="20.25" customHeight="1">
      <c r="A88" s="44"/>
      <c r="B88" s="65"/>
      <c r="C88" s="45"/>
      <c r="D88" s="45"/>
      <c r="E88" s="57"/>
      <c r="F88" s="66"/>
      <c r="G88" s="66"/>
      <c r="H88" s="66"/>
      <c r="I88" s="66"/>
      <c r="J88" s="67"/>
      <c r="K88" s="58"/>
      <c r="L88" s="58"/>
      <c r="M88" s="59"/>
      <c r="N88" s="59"/>
      <c r="O88" s="59"/>
      <c r="P88" s="59"/>
      <c r="Q88" s="59"/>
      <c r="R88" s="59"/>
      <c r="S88" s="58"/>
      <c r="T88" s="58"/>
    </row>
    <row r="89" spans="1:20" ht="20.25" customHeight="1">
      <c r="A89" s="44"/>
      <c r="B89" s="65"/>
      <c r="C89" s="45"/>
      <c r="D89" s="45"/>
      <c r="E89" s="57"/>
      <c r="F89" s="66"/>
      <c r="G89" s="66"/>
      <c r="H89" s="66"/>
      <c r="I89" s="66"/>
      <c r="J89" s="67"/>
      <c r="K89" s="58"/>
      <c r="L89" s="58"/>
      <c r="M89" s="59"/>
      <c r="N89" s="59"/>
      <c r="O89" s="59"/>
      <c r="P89" s="59"/>
      <c r="Q89" s="59"/>
      <c r="R89" s="59"/>
      <c r="S89" s="58"/>
      <c r="T89" s="58"/>
    </row>
    <row r="90" spans="1:20" ht="20.25" customHeight="1">
      <c r="A90" s="44"/>
      <c r="B90" s="65"/>
      <c r="C90" s="45"/>
      <c r="D90" s="45"/>
      <c r="E90" s="57"/>
      <c r="F90" s="66"/>
      <c r="G90" s="66"/>
      <c r="H90" s="66"/>
      <c r="I90" s="66"/>
      <c r="J90" s="67"/>
      <c r="K90" s="58"/>
      <c r="L90" s="58"/>
      <c r="M90" s="59"/>
      <c r="N90" s="59"/>
      <c r="O90" s="59"/>
      <c r="P90" s="59"/>
      <c r="Q90" s="59"/>
      <c r="R90" s="59"/>
      <c r="S90" s="58"/>
      <c r="T90" s="58"/>
    </row>
    <row r="91" spans="1:20" ht="20.25" customHeight="1">
      <c r="A91" s="44"/>
      <c r="B91" s="65"/>
      <c r="C91" s="45"/>
      <c r="D91" s="45"/>
      <c r="E91" s="57"/>
      <c r="F91" s="66"/>
      <c r="G91" s="66"/>
      <c r="H91" s="66"/>
      <c r="I91" s="66"/>
      <c r="J91" s="67"/>
      <c r="K91" s="58"/>
      <c r="L91" s="58"/>
      <c r="M91" s="59"/>
      <c r="N91" s="59"/>
      <c r="O91" s="59"/>
      <c r="P91" s="59"/>
      <c r="Q91" s="59"/>
      <c r="R91" s="59"/>
      <c r="S91" s="58"/>
      <c r="T91" s="58"/>
    </row>
    <row r="92" spans="1:20" ht="20.25" customHeight="1">
      <c r="A92" s="44"/>
      <c r="B92" s="65"/>
      <c r="C92" s="45"/>
      <c r="D92" s="45"/>
      <c r="E92" s="57"/>
      <c r="F92" s="66"/>
      <c r="G92" s="66"/>
      <c r="H92" s="66"/>
      <c r="I92" s="66"/>
      <c r="J92" s="67"/>
      <c r="K92" s="58"/>
      <c r="L92" s="58"/>
      <c r="M92" s="59"/>
      <c r="N92" s="59"/>
      <c r="O92" s="59"/>
      <c r="P92" s="59"/>
      <c r="Q92" s="59"/>
      <c r="R92" s="59"/>
      <c r="S92" s="58"/>
      <c r="T92" s="58"/>
    </row>
    <row r="93" spans="1:20" ht="20.25" customHeight="1">
      <c r="A93" s="44"/>
      <c r="B93" s="65"/>
      <c r="C93" s="45"/>
      <c r="D93" s="45"/>
      <c r="E93" s="57"/>
      <c r="F93" s="66"/>
      <c r="G93" s="66"/>
      <c r="H93" s="66"/>
      <c r="I93" s="66"/>
      <c r="J93" s="67"/>
      <c r="K93" s="58"/>
      <c r="L93" s="58"/>
      <c r="M93" s="59"/>
      <c r="N93" s="59"/>
      <c r="O93" s="59"/>
      <c r="P93" s="59"/>
      <c r="Q93" s="59"/>
      <c r="R93" s="59"/>
      <c r="S93" s="58"/>
      <c r="T93" s="58"/>
    </row>
  </sheetData>
  <autoFilter ref="A1:AB20">
    <filterColumn colId="4">
      <filters>
        <dateGroupItem year="2022" month="1" dateTimeGrouping="month"/>
      </filters>
    </filterColumn>
  </autoFilter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F23" sqref="F2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5" max="15" width="9" style="112"/>
  </cols>
  <sheetData>
    <row r="1" spans="1:25" ht="27">
      <c r="A1" s="11"/>
      <c r="B1" s="5" t="s">
        <v>74</v>
      </c>
      <c r="C1" s="9" t="s">
        <v>122</v>
      </c>
      <c r="D1" s="6" t="s">
        <v>75</v>
      </c>
      <c r="E1" s="6" t="s">
        <v>31</v>
      </c>
      <c r="F1" s="6" t="s">
        <v>76</v>
      </c>
      <c r="G1" s="6" t="s">
        <v>33</v>
      </c>
      <c r="H1" s="6" t="s">
        <v>77</v>
      </c>
      <c r="I1" s="6" t="s">
        <v>78</v>
      </c>
      <c r="J1" s="13" t="s">
        <v>79</v>
      </c>
      <c r="K1" s="6" t="s">
        <v>32</v>
      </c>
      <c r="L1" s="13" t="s">
        <v>80</v>
      </c>
      <c r="M1" s="6" t="s">
        <v>81</v>
      </c>
      <c r="N1" s="6" t="s">
        <v>34</v>
      </c>
      <c r="O1" s="113" t="s">
        <v>145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82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4"/>
      <c r="K2" s="7">
        <v>0.02</v>
      </c>
      <c r="L2" s="14">
        <v>3</v>
      </c>
      <c r="M2" s="7">
        <v>0.12</v>
      </c>
      <c r="N2" s="7">
        <v>0.12</v>
      </c>
      <c r="O2" s="14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73</v>
      </c>
      <c r="C3" s="16" t="s">
        <v>135</v>
      </c>
      <c r="D3" s="17">
        <v>0.16</v>
      </c>
      <c r="E3" s="17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5"/>
      <c r="K3" s="7">
        <v>0.02</v>
      </c>
      <c r="L3" s="14"/>
      <c r="M3" s="7">
        <v>0.08</v>
      </c>
      <c r="N3" s="7">
        <v>0.08</v>
      </c>
      <c r="O3" s="14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71</v>
      </c>
      <c r="C4" s="32" t="s">
        <v>123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5"/>
      <c r="K4" s="7">
        <v>0.02</v>
      </c>
      <c r="L4" s="14"/>
      <c r="M4" s="7">
        <v>0.05</v>
      </c>
      <c r="N4" s="7">
        <v>0.05</v>
      </c>
      <c r="O4" s="14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134</v>
      </c>
      <c r="C5" s="32" t="s">
        <v>123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5"/>
      <c r="K5" s="7">
        <v>0.02</v>
      </c>
      <c r="L5" s="14"/>
      <c r="M5" s="7">
        <v>0.12</v>
      </c>
      <c r="N5" s="7">
        <v>0.12</v>
      </c>
      <c r="O5" s="14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2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M2" sqref="M2:M15"/>
    </sheetView>
  </sheetViews>
  <sheetFormatPr defaultRowHeight="13.5"/>
  <cols>
    <col min="3" max="3" width="23.5" bestFit="1" customWidth="1"/>
  </cols>
  <sheetData>
    <row r="1" spans="1:14" ht="24">
      <c r="A1" s="18" t="s">
        <v>83</v>
      </c>
      <c r="B1" s="18" t="s">
        <v>84</v>
      </c>
      <c r="C1" s="18" t="s">
        <v>85</v>
      </c>
      <c r="D1" s="18" t="s">
        <v>86</v>
      </c>
      <c r="E1" s="19" t="s">
        <v>87</v>
      </c>
      <c r="F1" s="19" t="s">
        <v>88</v>
      </c>
      <c r="G1" s="19" t="s">
        <v>89</v>
      </c>
      <c r="H1" s="19" t="s">
        <v>90</v>
      </c>
      <c r="I1" s="19" t="s">
        <v>91</v>
      </c>
      <c r="J1" s="19" t="s">
        <v>92</v>
      </c>
      <c r="K1" s="19" t="s">
        <v>93</v>
      </c>
      <c r="L1" s="19" t="s">
        <v>94</v>
      </c>
      <c r="M1" s="26" t="s">
        <v>95</v>
      </c>
      <c r="N1" s="26" t="s">
        <v>96</v>
      </c>
    </row>
    <row r="2" spans="1:14">
      <c r="A2" s="20" t="s">
        <v>72</v>
      </c>
      <c r="B2" s="21" t="s">
        <v>97</v>
      </c>
      <c r="C2" s="22" t="s">
        <v>98</v>
      </c>
      <c r="D2" s="23" t="s">
        <v>99</v>
      </c>
      <c r="E2" s="24" t="s">
        <v>100</v>
      </c>
      <c r="F2" s="25"/>
      <c r="G2" s="24">
        <v>0.08</v>
      </c>
      <c r="H2" s="25"/>
      <c r="I2" s="24" t="s">
        <v>101</v>
      </c>
      <c r="J2" s="24" t="s">
        <v>102</v>
      </c>
      <c r="K2" s="24" t="s">
        <v>101</v>
      </c>
      <c r="L2" s="24" t="s">
        <v>102</v>
      </c>
      <c r="M2" s="27">
        <v>2</v>
      </c>
      <c r="N2" s="188" t="s">
        <v>103</v>
      </c>
    </row>
    <row r="3" spans="1:14">
      <c r="A3" s="20" t="s">
        <v>72</v>
      </c>
      <c r="B3" s="21" t="s">
        <v>104</v>
      </c>
      <c r="C3" s="22" t="s">
        <v>105</v>
      </c>
      <c r="D3" s="23" t="s">
        <v>99</v>
      </c>
      <c r="E3" s="24" t="s">
        <v>106</v>
      </c>
      <c r="F3" s="25"/>
      <c r="G3" s="24">
        <v>0.02</v>
      </c>
      <c r="H3" s="25"/>
      <c r="I3" s="24" t="s">
        <v>101</v>
      </c>
      <c r="J3" s="24" t="s">
        <v>107</v>
      </c>
      <c r="K3" s="24" t="s">
        <v>101</v>
      </c>
      <c r="L3" s="24" t="s">
        <v>107</v>
      </c>
      <c r="M3" s="27">
        <v>2</v>
      </c>
      <c r="N3" s="189"/>
    </row>
    <row r="4" spans="1:14">
      <c r="A4" s="20" t="s">
        <v>72</v>
      </c>
      <c r="B4" s="21" t="s">
        <v>108</v>
      </c>
      <c r="C4" s="22" t="s">
        <v>98</v>
      </c>
      <c r="D4" s="23" t="s">
        <v>99</v>
      </c>
      <c r="E4" s="24" t="s">
        <v>109</v>
      </c>
      <c r="F4" s="25"/>
      <c r="G4" s="24" t="s">
        <v>109</v>
      </c>
      <c r="H4" s="25"/>
      <c r="I4" s="24" t="s">
        <v>101</v>
      </c>
      <c r="J4" s="24" t="s">
        <v>102</v>
      </c>
      <c r="K4" s="24" t="s">
        <v>101</v>
      </c>
      <c r="L4" s="24" t="s">
        <v>102</v>
      </c>
      <c r="M4" s="27">
        <v>0</v>
      </c>
      <c r="N4" s="189"/>
    </row>
    <row r="5" spans="1:14">
      <c r="A5" s="20" t="s">
        <v>72</v>
      </c>
      <c r="B5" s="21" t="s">
        <v>110</v>
      </c>
      <c r="C5" s="22" t="s">
        <v>98</v>
      </c>
      <c r="D5" s="23" t="s">
        <v>99</v>
      </c>
      <c r="E5" s="24" t="s">
        <v>111</v>
      </c>
      <c r="F5" s="25"/>
      <c r="G5" s="25"/>
      <c r="H5" s="25"/>
      <c r="I5" s="24" t="s">
        <v>112</v>
      </c>
      <c r="J5" s="24" t="s">
        <v>113</v>
      </c>
      <c r="K5" s="24" t="s">
        <v>112</v>
      </c>
      <c r="L5" s="24" t="s">
        <v>113</v>
      </c>
      <c r="M5" s="27">
        <v>0</v>
      </c>
      <c r="N5" s="189"/>
    </row>
    <row r="6" spans="1:14">
      <c r="A6" s="20" t="s">
        <v>72</v>
      </c>
      <c r="B6" s="21" t="s">
        <v>114</v>
      </c>
      <c r="C6" s="22" t="s">
        <v>105</v>
      </c>
      <c r="D6" s="23" t="s">
        <v>99</v>
      </c>
      <c r="E6" s="24" t="s">
        <v>115</v>
      </c>
      <c r="F6" s="25"/>
      <c r="G6" s="25"/>
      <c r="H6" s="25"/>
      <c r="I6" s="24" t="s">
        <v>101</v>
      </c>
      <c r="J6" s="24" t="s">
        <v>107</v>
      </c>
      <c r="K6" s="24" t="s">
        <v>101</v>
      </c>
      <c r="L6" s="24" t="s">
        <v>107</v>
      </c>
      <c r="M6" s="27">
        <v>2</v>
      </c>
      <c r="N6" s="189"/>
    </row>
    <row r="7" spans="1:14">
      <c r="A7" s="20" t="s">
        <v>72</v>
      </c>
      <c r="B7" s="21" t="s">
        <v>116</v>
      </c>
      <c r="C7" s="22" t="s">
        <v>98</v>
      </c>
      <c r="D7" s="23" t="s">
        <v>99</v>
      </c>
      <c r="E7" s="24" t="s">
        <v>117</v>
      </c>
      <c r="F7" s="25"/>
      <c r="G7" s="24" t="s">
        <v>117</v>
      </c>
      <c r="H7" s="25"/>
      <c r="I7" s="24" t="s">
        <v>118</v>
      </c>
      <c r="J7" s="24" t="s">
        <v>119</v>
      </c>
      <c r="K7" s="24" t="s">
        <v>118</v>
      </c>
      <c r="L7" s="24" t="s">
        <v>119</v>
      </c>
      <c r="M7" s="27">
        <v>2</v>
      </c>
      <c r="N7" s="189"/>
    </row>
    <row r="8" spans="1:14">
      <c r="A8" s="20" t="s">
        <v>72</v>
      </c>
      <c r="B8" s="21" t="s">
        <v>116</v>
      </c>
      <c r="C8" s="22" t="s">
        <v>98</v>
      </c>
      <c r="D8" s="23" t="s">
        <v>99</v>
      </c>
      <c r="E8" s="24" t="s">
        <v>120</v>
      </c>
      <c r="F8" s="25"/>
      <c r="G8" s="24" t="s">
        <v>120</v>
      </c>
      <c r="H8" s="25"/>
      <c r="I8" s="24" t="s">
        <v>118</v>
      </c>
      <c r="J8" s="24" t="s">
        <v>119</v>
      </c>
      <c r="K8" s="24" t="s">
        <v>118</v>
      </c>
      <c r="L8" s="24" t="s">
        <v>119</v>
      </c>
      <c r="M8" s="27">
        <v>2</v>
      </c>
      <c r="N8" s="189"/>
    </row>
    <row r="9" spans="1:14">
      <c r="A9" s="20" t="s">
        <v>72</v>
      </c>
      <c r="B9" s="21" t="s">
        <v>116</v>
      </c>
      <c r="C9" s="22" t="s">
        <v>98</v>
      </c>
      <c r="D9" s="23" t="s">
        <v>99</v>
      </c>
      <c r="E9" s="24" t="s">
        <v>121</v>
      </c>
      <c r="F9" s="25"/>
      <c r="G9" s="24" t="s">
        <v>121</v>
      </c>
      <c r="H9" s="25"/>
      <c r="I9" s="24" t="s">
        <v>118</v>
      </c>
      <c r="J9" s="24" t="s">
        <v>119</v>
      </c>
      <c r="K9" s="24" t="s">
        <v>118</v>
      </c>
      <c r="L9" s="24" t="s">
        <v>119</v>
      </c>
      <c r="M9" s="27">
        <v>2</v>
      </c>
      <c r="N9" s="189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O14" sqref="O14"/>
    </sheetView>
  </sheetViews>
  <sheetFormatPr defaultRowHeight="13.5"/>
  <cols>
    <col min="3" max="3" width="23.5" bestFit="1" customWidth="1"/>
  </cols>
  <sheetData>
    <row r="1" spans="1:14" ht="24">
      <c r="A1" s="28" t="s">
        <v>83</v>
      </c>
      <c r="B1" s="28" t="s">
        <v>84</v>
      </c>
      <c r="C1" s="28" t="s">
        <v>85</v>
      </c>
      <c r="D1" s="28" t="s">
        <v>86</v>
      </c>
      <c r="E1" s="29" t="s">
        <v>87</v>
      </c>
      <c r="F1" s="29" t="s">
        <v>88</v>
      </c>
      <c r="G1" s="29" t="s">
        <v>89</v>
      </c>
      <c r="H1" s="29" t="s">
        <v>90</v>
      </c>
      <c r="I1" s="29" t="s">
        <v>91</v>
      </c>
      <c r="J1" s="29" t="s">
        <v>92</v>
      </c>
      <c r="K1" s="29" t="s">
        <v>93</v>
      </c>
      <c r="L1" s="29" t="s">
        <v>94</v>
      </c>
      <c r="M1" s="36" t="s">
        <v>95</v>
      </c>
      <c r="N1" s="36" t="s">
        <v>96</v>
      </c>
    </row>
    <row r="2" spans="1:14">
      <c r="A2" s="30" t="s">
        <v>70</v>
      </c>
      <c r="B2" s="31" t="s">
        <v>97</v>
      </c>
      <c r="C2" s="32" t="s">
        <v>123</v>
      </c>
      <c r="D2" s="33" t="s">
        <v>124</v>
      </c>
      <c r="E2" s="34" t="s">
        <v>100</v>
      </c>
      <c r="F2" s="35"/>
      <c r="G2" s="34">
        <v>0.08</v>
      </c>
      <c r="H2" s="35"/>
      <c r="I2" s="34" t="s">
        <v>125</v>
      </c>
      <c r="J2" s="34" t="s">
        <v>126</v>
      </c>
      <c r="K2" s="34" t="s">
        <v>125</v>
      </c>
      <c r="L2" s="34" t="s">
        <v>126</v>
      </c>
      <c r="M2" s="37">
        <v>3</v>
      </c>
      <c r="N2" s="188" t="s">
        <v>127</v>
      </c>
    </row>
    <row r="3" spans="1:14">
      <c r="A3" s="30" t="s">
        <v>70</v>
      </c>
      <c r="B3" s="31" t="s">
        <v>104</v>
      </c>
      <c r="C3" s="32" t="s">
        <v>123</v>
      </c>
      <c r="D3" s="33" t="s">
        <v>124</v>
      </c>
      <c r="E3" s="34" t="s">
        <v>128</v>
      </c>
      <c r="F3" s="35"/>
      <c r="G3" s="34">
        <v>0.02</v>
      </c>
      <c r="H3" s="35"/>
      <c r="I3" s="34" t="s">
        <v>125</v>
      </c>
      <c r="J3" s="34" t="s">
        <v>126</v>
      </c>
      <c r="K3" s="34" t="s">
        <v>125</v>
      </c>
      <c r="L3" s="34" t="s">
        <v>126</v>
      </c>
      <c r="M3" s="37">
        <v>3</v>
      </c>
      <c r="N3" s="189"/>
    </row>
    <row r="4" spans="1:14">
      <c r="A4" s="30" t="s">
        <v>70</v>
      </c>
      <c r="B4" s="31" t="s">
        <v>108</v>
      </c>
      <c r="C4" s="32" t="s">
        <v>123</v>
      </c>
      <c r="D4" s="33" t="s">
        <v>124</v>
      </c>
      <c r="E4" s="34" t="s">
        <v>109</v>
      </c>
      <c r="F4" s="35"/>
      <c r="G4" s="34" t="s">
        <v>109</v>
      </c>
      <c r="H4" s="35"/>
      <c r="I4" s="34" t="s">
        <v>125</v>
      </c>
      <c r="J4" s="34" t="s">
        <v>126</v>
      </c>
      <c r="K4" s="34" t="s">
        <v>125</v>
      </c>
      <c r="L4" s="34" t="s">
        <v>126</v>
      </c>
      <c r="M4" s="37">
        <v>3</v>
      </c>
      <c r="N4" s="189"/>
    </row>
    <row r="5" spans="1:14">
      <c r="A5" s="30" t="s">
        <v>70</v>
      </c>
      <c r="B5" s="31" t="s">
        <v>110</v>
      </c>
      <c r="C5" s="32" t="s">
        <v>123</v>
      </c>
      <c r="D5" s="33" t="s">
        <v>124</v>
      </c>
      <c r="E5" s="34" t="s">
        <v>129</v>
      </c>
      <c r="F5" s="35"/>
      <c r="G5" s="35"/>
      <c r="H5" s="35"/>
      <c r="I5" s="34" t="s">
        <v>125</v>
      </c>
      <c r="J5" s="34" t="s">
        <v>126</v>
      </c>
      <c r="K5" s="34" t="s">
        <v>125</v>
      </c>
      <c r="L5" s="34" t="s">
        <v>126</v>
      </c>
      <c r="M5" s="37">
        <v>3</v>
      </c>
      <c r="N5" s="189"/>
    </row>
    <row r="6" spans="1:14">
      <c r="A6" s="30" t="s">
        <v>70</v>
      </c>
      <c r="B6" s="31" t="s">
        <v>130</v>
      </c>
      <c r="C6" s="32" t="s">
        <v>123</v>
      </c>
      <c r="D6" s="33" t="s">
        <v>124</v>
      </c>
      <c r="E6" s="34"/>
      <c r="F6" s="35" t="s">
        <v>131</v>
      </c>
      <c r="G6" s="35"/>
      <c r="H6" s="35"/>
      <c r="I6" s="34"/>
      <c r="J6" s="34"/>
      <c r="K6" s="34"/>
      <c r="L6" s="34"/>
      <c r="M6" s="37">
        <v>3</v>
      </c>
      <c r="N6" s="189"/>
    </row>
    <row r="7" spans="1:14">
      <c r="A7" s="30" t="s">
        <v>70</v>
      </c>
      <c r="B7" s="31" t="s">
        <v>116</v>
      </c>
      <c r="C7" s="32" t="s">
        <v>123</v>
      </c>
      <c r="D7" s="33" t="s">
        <v>124</v>
      </c>
      <c r="E7" s="34" t="s">
        <v>117</v>
      </c>
      <c r="F7" s="35"/>
      <c r="G7" s="34" t="s">
        <v>117</v>
      </c>
      <c r="H7" s="35"/>
      <c r="I7" s="34" t="s">
        <v>132</v>
      </c>
      <c r="J7" s="34" t="s">
        <v>133</v>
      </c>
      <c r="K7" s="34" t="s">
        <v>132</v>
      </c>
      <c r="L7" s="34" t="s">
        <v>133</v>
      </c>
      <c r="M7" s="37">
        <v>3</v>
      </c>
      <c r="N7" s="189"/>
    </row>
    <row r="8" spans="1:14">
      <c r="A8" s="30" t="s">
        <v>70</v>
      </c>
      <c r="B8" s="31" t="s">
        <v>116</v>
      </c>
      <c r="C8" s="32" t="s">
        <v>123</v>
      </c>
      <c r="D8" s="33" t="s">
        <v>124</v>
      </c>
      <c r="E8" s="34" t="s">
        <v>121</v>
      </c>
      <c r="F8" s="35"/>
      <c r="G8" s="34" t="s">
        <v>121</v>
      </c>
      <c r="H8" s="35"/>
      <c r="I8" s="34" t="s">
        <v>132</v>
      </c>
      <c r="J8" s="34" t="s">
        <v>133</v>
      </c>
      <c r="K8" s="34" t="s">
        <v>132</v>
      </c>
      <c r="L8" s="34" t="s">
        <v>133</v>
      </c>
      <c r="M8" s="37">
        <v>3</v>
      </c>
      <c r="N8" s="189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workbookViewId="0">
      <selection activeCell="G25" sqref="G25"/>
    </sheetView>
  </sheetViews>
  <sheetFormatPr defaultRowHeight="13.5"/>
  <sheetData>
    <row r="1" spans="1:40">
      <c r="A1" s="136" t="s">
        <v>207</v>
      </c>
      <c r="B1" s="136" t="s">
        <v>0</v>
      </c>
      <c r="C1" s="136" t="s">
        <v>208</v>
      </c>
      <c r="D1" s="137" t="s">
        <v>209</v>
      </c>
      <c r="E1" s="138" t="s">
        <v>210</v>
      </c>
      <c r="F1" s="138" t="s">
        <v>211</v>
      </c>
      <c r="G1" s="138" t="s">
        <v>212</v>
      </c>
      <c r="H1" s="135" t="s">
        <v>213</v>
      </c>
      <c r="I1" s="135" t="s">
        <v>214</v>
      </c>
      <c r="J1" s="135" t="s">
        <v>215</v>
      </c>
      <c r="K1" s="135" t="s">
        <v>216</v>
      </c>
      <c r="L1" s="135" t="s">
        <v>217</v>
      </c>
      <c r="M1" s="135" t="s">
        <v>218</v>
      </c>
      <c r="N1" s="135" t="s">
        <v>219</v>
      </c>
      <c r="O1" s="135" t="s">
        <v>220</v>
      </c>
      <c r="P1" s="135" t="s">
        <v>221</v>
      </c>
      <c r="Q1" s="135" t="s">
        <v>222</v>
      </c>
      <c r="R1" s="135" t="s">
        <v>223</v>
      </c>
      <c r="S1" s="135" t="s">
        <v>17</v>
      </c>
      <c r="T1" s="135" t="s">
        <v>224</v>
      </c>
      <c r="U1" s="135" t="s">
        <v>18</v>
      </c>
      <c r="V1" s="135" t="s">
        <v>19</v>
      </c>
      <c r="W1" s="135" t="s">
        <v>202</v>
      </c>
      <c r="X1" s="135" t="s">
        <v>203</v>
      </c>
      <c r="Y1" s="135" t="s">
        <v>204</v>
      </c>
      <c r="Z1" s="135" t="s">
        <v>205</v>
      </c>
      <c r="AA1" s="135" t="s">
        <v>206</v>
      </c>
      <c r="AB1" s="135"/>
      <c r="AC1" s="135" t="s">
        <v>22</v>
      </c>
      <c r="AD1" s="135" t="s">
        <v>225</v>
      </c>
      <c r="AE1" s="135" t="s">
        <v>226</v>
      </c>
      <c r="AF1" s="139" t="s">
        <v>227</v>
      </c>
      <c r="AG1" s="135" t="s">
        <v>228</v>
      </c>
      <c r="AH1" s="135" t="s">
        <v>229</v>
      </c>
      <c r="AI1" s="135" t="s">
        <v>230</v>
      </c>
      <c r="AJ1" s="135" t="s">
        <v>231</v>
      </c>
      <c r="AK1" s="135" t="s">
        <v>232</v>
      </c>
      <c r="AL1" s="135" t="s">
        <v>233</v>
      </c>
      <c r="AM1" s="136" t="s">
        <v>234</v>
      </c>
      <c r="AN1" s="140"/>
    </row>
    <row r="2" spans="1:40">
      <c r="A2" s="141" t="s">
        <v>235</v>
      </c>
      <c r="B2" s="141" t="s">
        <v>38</v>
      </c>
      <c r="C2" s="141" t="s">
        <v>236</v>
      </c>
      <c r="D2" s="141" t="s">
        <v>39</v>
      </c>
      <c r="E2" s="141" t="s">
        <v>237</v>
      </c>
      <c r="F2" s="141" t="s">
        <v>238</v>
      </c>
      <c r="G2" s="142" t="s">
        <v>239</v>
      </c>
      <c r="H2" s="134">
        <v>11217</v>
      </c>
      <c r="I2" s="134">
        <v>0</v>
      </c>
      <c r="J2" s="134">
        <v>0</v>
      </c>
      <c r="K2" s="134">
        <v>428.8</v>
      </c>
      <c r="L2" s="134">
        <v>110.2</v>
      </c>
      <c r="M2" s="134">
        <v>26.8</v>
      </c>
      <c r="N2" s="134">
        <v>316</v>
      </c>
      <c r="O2" s="134">
        <v>0</v>
      </c>
      <c r="P2" s="134">
        <v>0</v>
      </c>
      <c r="Q2" s="134">
        <v>0</v>
      </c>
      <c r="R2" s="134">
        <v>0</v>
      </c>
      <c r="S2" s="134">
        <v>11217</v>
      </c>
      <c r="T2" s="134">
        <v>0</v>
      </c>
      <c r="U2" s="134">
        <v>5000</v>
      </c>
      <c r="V2" s="134">
        <v>881.8</v>
      </c>
      <c r="W2" s="134">
        <v>0</v>
      </c>
      <c r="X2" s="134">
        <v>0</v>
      </c>
      <c r="Y2" s="134">
        <v>0</v>
      </c>
      <c r="Z2" s="134">
        <v>0</v>
      </c>
      <c r="AA2" s="134">
        <v>0</v>
      </c>
      <c r="AB2" s="134">
        <v>0</v>
      </c>
      <c r="AC2" s="134">
        <v>0</v>
      </c>
      <c r="AD2" s="134">
        <v>0</v>
      </c>
      <c r="AE2" s="134">
        <v>5335.2</v>
      </c>
      <c r="AF2" s="143">
        <v>0.03</v>
      </c>
      <c r="AG2" s="134">
        <v>0</v>
      </c>
      <c r="AH2" s="134">
        <v>160.06</v>
      </c>
      <c r="AI2" s="134">
        <v>0</v>
      </c>
      <c r="AJ2" s="134">
        <v>160.06</v>
      </c>
      <c r="AK2" s="134">
        <v>0</v>
      </c>
      <c r="AL2" s="134">
        <v>160.06</v>
      </c>
      <c r="AM2" s="141" t="s">
        <v>235</v>
      </c>
      <c r="AN2" s="140"/>
    </row>
    <row r="3" spans="1:40">
      <c r="A3" s="141" t="s">
        <v>235</v>
      </c>
      <c r="B3" s="141" t="s">
        <v>49</v>
      </c>
      <c r="C3" s="141" t="s">
        <v>236</v>
      </c>
      <c r="D3" s="141" t="s">
        <v>50</v>
      </c>
      <c r="E3" s="141" t="s">
        <v>237</v>
      </c>
      <c r="F3" s="141" t="s">
        <v>238</v>
      </c>
      <c r="G3" s="142" t="s">
        <v>239</v>
      </c>
      <c r="H3" s="134">
        <v>13000</v>
      </c>
      <c r="I3" s="134">
        <v>0</v>
      </c>
      <c r="J3" s="134">
        <v>0</v>
      </c>
      <c r="K3" s="134">
        <v>274.39999999999998</v>
      </c>
      <c r="L3" s="134">
        <v>68.599999999999994</v>
      </c>
      <c r="M3" s="134">
        <v>17.149999999999999</v>
      </c>
      <c r="N3" s="134">
        <v>83</v>
      </c>
      <c r="O3" s="134">
        <v>0</v>
      </c>
      <c r="P3" s="134">
        <v>0</v>
      </c>
      <c r="Q3" s="134">
        <v>0</v>
      </c>
      <c r="R3" s="134">
        <v>0</v>
      </c>
      <c r="S3" s="134">
        <v>13000</v>
      </c>
      <c r="T3" s="134">
        <v>0</v>
      </c>
      <c r="U3" s="134">
        <v>5000</v>
      </c>
      <c r="V3" s="134">
        <v>443.15</v>
      </c>
      <c r="W3" s="134">
        <v>0</v>
      </c>
      <c r="X3" s="134">
        <v>0</v>
      </c>
      <c r="Y3" s="134">
        <v>0</v>
      </c>
      <c r="Z3" s="134">
        <v>0</v>
      </c>
      <c r="AA3" s="134">
        <v>0</v>
      </c>
      <c r="AB3" s="134">
        <v>0</v>
      </c>
      <c r="AC3" s="134">
        <v>0</v>
      </c>
      <c r="AD3" s="134">
        <v>0</v>
      </c>
      <c r="AE3" s="134">
        <v>7556.85</v>
      </c>
      <c r="AF3" s="143">
        <v>0.03</v>
      </c>
      <c r="AG3" s="134">
        <v>0</v>
      </c>
      <c r="AH3" s="134">
        <v>226.71</v>
      </c>
      <c r="AI3" s="134">
        <v>0</v>
      </c>
      <c r="AJ3" s="134">
        <v>226.71</v>
      </c>
      <c r="AK3" s="134">
        <v>0</v>
      </c>
      <c r="AL3" s="134">
        <v>226.71</v>
      </c>
      <c r="AM3" s="141" t="s">
        <v>235</v>
      </c>
      <c r="AN3" s="140"/>
    </row>
    <row r="4" spans="1:40">
      <c r="A4" s="141" t="s">
        <v>235</v>
      </c>
      <c r="B4" s="141" t="s">
        <v>63</v>
      </c>
      <c r="C4" s="141" t="s">
        <v>236</v>
      </c>
      <c r="D4" s="141" t="s">
        <v>64</v>
      </c>
      <c r="E4" s="141" t="s">
        <v>237</v>
      </c>
      <c r="F4" s="141" t="s">
        <v>238</v>
      </c>
      <c r="G4" s="142" t="s">
        <v>239</v>
      </c>
      <c r="H4" s="134">
        <v>17000</v>
      </c>
      <c r="I4" s="134">
        <v>0</v>
      </c>
      <c r="J4" s="134">
        <v>0</v>
      </c>
      <c r="K4" s="134">
        <v>274.39999999999998</v>
      </c>
      <c r="L4" s="134">
        <v>68.599999999999994</v>
      </c>
      <c r="M4" s="134">
        <v>17.149999999999999</v>
      </c>
      <c r="N4" s="134">
        <v>83</v>
      </c>
      <c r="O4" s="134">
        <v>0</v>
      </c>
      <c r="P4" s="134">
        <v>0</v>
      </c>
      <c r="Q4" s="134">
        <v>0</v>
      </c>
      <c r="R4" s="134">
        <v>0</v>
      </c>
      <c r="S4" s="134">
        <v>17000</v>
      </c>
      <c r="T4" s="134">
        <v>0</v>
      </c>
      <c r="U4" s="134">
        <v>5000</v>
      </c>
      <c r="V4" s="134">
        <v>443.15</v>
      </c>
      <c r="W4" s="134">
        <v>0</v>
      </c>
      <c r="X4" s="134">
        <v>0</v>
      </c>
      <c r="Y4" s="134">
        <v>0</v>
      </c>
      <c r="Z4" s="134">
        <v>0</v>
      </c>
      <c r="AA4" s="134">
        <v>0</v>
      </c>
      <c r="AB4" s="134">
        <v>0</v>
      </c>
      <c r="AC4" s="134">
        <v>0</v>
      </c>
      <c r="AD4" s="134">
        <v>0</v>
      </c>
      <c r="AE4" s="134">
        <v>11556.85</v>
      </c>
      <c r="AF4" s="143">
        <v>0.03</v>
      </c>
      <c r="AG4" s="134">
        <v>0</v>
      </c>
      <c r="AH4" s="134">
        <v>346.71</v>
      </c>
      <c r="AI4" s="134">
        <v>0</v>
      </c>
      <c r="AJ4" s="134">
        <v>346.71</v>
      </c>
      <c r="AK4" s="134">
        <v>0</v>
      </c>
      <c r="AL4" s="134">
        <v>346.71</v>
      </c>
      <c r="AM4" s="141" t="s">
        <v>235</v>
      </c>
      <c r="AN4" s="140"/>
    </row>
    <row r="5" spans="1:40">
      <c r="A5" s="141" t="s">
        <v>235</v>
      </c>
      <c r="B5" s="141" t="s">
        <v>57</v>
      </c>
      <c r="C5" s="141" t="s">
        <v>236</v>
      </c>
      <c r="D5" s="141" t="s">
        <v>58</v>
      </c>
      <c r="E5" s="141" t="s">
        <v>237</v>
      </c>
      <c r="F5" s="141" t="s">
        <v>238</v>
      </c>
      <c r="G5" s="142" t="s">
        <v>239</v>
      </c>
      <c r="H5" s="134">
        <v>16379.31</v>
      </c>
      <c r="I5" s="134">
        <v>0</v>
      </c>
      <c r="J5" s="134">
        <v>0</v>
      </c>
      <c r="K5" s="134">
        <v>274.39999999999998</v>
      </c>
      <c r="L5" s="134">
        <v>68.599999999999994</v>
      </c>
      <c r="M5" s="134">
        <v>17.149999999999999</v>
      </c>
      <c r="N5" s="134">
        <v>83</v>
      </c>
      <c r="O5" s="134">
        <v>0</v>
      </c>
      <c r="P5" s="134">
        <v>0</v>
      </c>
      <c r="Q5" s="134">
        <v>0</v>
      </c>
      <c r="R5" s="134">
        <v>0</v>
      </c>
      <c r="S5" s="134">
        <v>16379.31</v>
      </c>
      <c r="T5" s="134">
        <v>0</v>
      </c>
      <c r="U5" s="134">
        <v>5000</v>
      </c>
      <c r="V5" s="134">
        <v>443.15</v>
      </c>
      <c r="W5" s="134">
        <v>0</v>
      </c>
      <c r="X5" s="134">
        <v>0</v>
      </c>
      <c r="Y5" s="134">
        <v>0</v>
      </c>
      <c r="Z5" s="134">
        <v>0</v>
      </c>
      <c r="AA5" s="134">
        <v>0</v>
      </c>
      <c r="AB5" s="134">
        <v>0</v>
      </c>
      <c r="AC5" s="134">
        <v>0</v>
      </c>
      <c r="AD5" s="134">
        <v>0</v>
      </c>
      <c r="AE5" s="134">
        <v>10936.16</v>
      </c>
      <c r="AF5" s="143">
        <v>0.03</v>
      </c>
      <c r="AG5" s="134">
        <v>0</v>
      </c>
      <c r="AH5" s="134">
        <v>328.08</v>
      </c>
      <c r="AI5" s="134">
        <v>0</v>
      </c>
      <c r="AJ5" s="134">
        <v>328.08</v>
      </c>
      <c r="AK5" s="134">
        <v>0</v>
      </c>
      <c r="AL5" s="134">
        <v>328.08</v>
      </c>
      <c r="AM5" s="141" t="s">
        <v>235</v>
      </c>
      <c r="AN5" s="140"/>
    </row>
    <row r="6" spans="1:40">
      <c r="A6" s="141" t="s">
        <v>235</v>
      </c>
      <c r="B6" s="141" t="s">
        <v>65</v>
      </c>
      <c r="C6" s="141" t="s">
        <v>236</v>
      </c>
      <c r="D6" s="141" t="s">
        <v>66</v>
      </c>
      <c r="E6" s="141" t="s">
        <v>237</v>
      </c>
      <c r="F6" s="141" t="s">
        <v>238</v>
      </c>
      <c r="G6" s="142" t="s">
        <v>239</v>
      </c>
      <c r="H6" s="134">
        <v>14793.1</v>
      </c>
      <c r="I6" s="134">
        <v>0</v>
      </c>
      <c r="J6" s="134">
        <v>0</v>
      </c>
      <c r="K6" s="134">
        <v>274.39999999999998</v>
      </c>
      <c r="L6" s="134">
        <v>68.599999999999994</v>
      </c>
      <c r="M6" s="134">
        <v>17.149999999999999</v>
      </c>
      <c r="N6" s="134">
        <v>83</v>
      </c>
      <c r="O6" s="134">
        <v>0</v>
      </c>
      <c r="P6" s="134">
        <v>0</v>
      </c>
      <c r="Q6" s="134">
        <v>0</v>
      </c>
      <c r="R6" s="134">
        <v>0</v>
      </c>
      <c r="S6" s="134">
        <v>14793.1</v>
      </c>
      <c r="T6" s="134">
        <v>0</v>
      </c>
      <c r="U6" s="134">
        <v>5000</v>
      </c>
      <c r="V6" s="134">
        <v>443.15</v>
      </c>
      <c r="W6" s="134">
        <v>0</v>
      </c>
      <c r="X6" s="134">
        <v>0</v>
      </c>
      <c r="Y6" s="134">
        <v>0</v>
      </c>
      <c r="Z6" s="134">
        <v>0</v>
      </c>
      <c r="AA6" s="134">
        <v>0</v>
      </c>
      <c r="AB6" s="134">
        <v>0</v>
      </c>
      <c r="AC6" s="134">
        <v>0</v>
      </c>
      <c r="AD6" s="134">
        <v>0</v>
      </c>
      <c r="AE6" s="134">
        <v>9349.9500000000007</v>
      </c>
      <c r="AF6" s="143">
        <v>0.03</v>
      </c>
      <c r="AG6" s="134">
        <v>0</v>
      </c>
      <c r="AH6" s="134">
        <v>280.5</v>
      </c>
      <c r="AI6" s="134">
        <v>0</v>
      </c>
      <c r="AJ6" s="134">
        <v>280.5</v>
      </c>
      <c r="AK6" s="134">
        <v>0</v>
      </c>
      <c r="AL6" s="134">
        <v>280.5</v>
      </c>
      <c r="AM6" s="141" t="s">
        <v>235</v>
      </c>
      <c r="AN6" s="140"/>
    </row>
    <row r="7" spans="1:40">
      <c r="A7" s="141" t="s">
        <v>235</v>
      </c>
      <c r="B7" s="141" t="s">
        <v>1</v>
      </c>
      <c r="C7" s="141" t="s">
        <v>236</v>
      </c>
      <c r="D7" s="141" t="s">
        <v>4</v>
      </c>
      <c r="E7" s="141" t="s">
        <v>237</v>
      </c>
      <c r="F7" s="141" t="s">
        <v>238</v>
      </c>
      <c r="G7" s="142" t="s">
        <v>239</v>
      </c>
      <c r="H7" s="134">
        <v>8800</v>
      </c>
      <c r="I7" s="134">
        <v>0</v>
      </c>
      <c r="J7" s="134">
        <v>0</v>
      </c>
      <c r="K7" s="134">
        <v>428.8</v>
      </c>
      <c r="L7" s="134">
        <v>110.2</v>
      </c>
      <c r="M7" s="134">
        <v>26.8</v>
      </c>
      <c r="N7" s="134">
        <v>316</v>
      </c>
      <c r="O7" s="134">
        <v>0</v>
      </c>
      <c r="P7" s="134">
        <v>0</v>
      </c>
      <c r="Q7" s="134">
        <v>0</v>
      </c>
      <c r="R7" s="134">
        <v>0</v>
      </c>
      <c r="S7" s="134">
        <v>8800</v>
      </c>
      <c r="T7" s="134">
        <v>0</v>
      </c>
      <c r="U7" s="134">
        <v>5000</v>
      </c>
      <c r="V7" s="134">
        <v>881.8</v>
      </c>
      <c r="W7" s="134">
        <v>0</v>
      </c>
      <c r="X7" s="134">
        <v>0</v>
      </c>
      <c r="Y7" s="134">
        <v>0</v>
      </c>
      <c r="Z7" s="134">
        <v>1500</v>
      </c>
      <c r="AA7" s="134">
        <v>0</v>
      </c>
      <c r="AB7" s="134">
        <v>0</v>
      </c>
      <c r="AC7" s="134">
        <v>0</v>
      </c>
      <c r="AD7" s="134">
        <v>0</v>
      </c>
      <c r="AE7" s="134">
        <v>1418.2</v>
      </c>
      <c r="AF7" s="143">
        <v>0.03</v>
      </c>
      <c r="AG7" s="134">
        <v>0</v>
      </c>
      <c r="AH7" s="134">
        <v>42.55</v>
      </c>
      <c r="AI7" s="134">
        <v>0</v>
      </c>
      <c r="AJ7" s="134">
        <v>42.55</v>
      </c>
      <c r="AK7" s="134">
        <v>0</v>
      </c>
      <c r="AL7" s="134">
        <v>42.55</v>
      </c>
      <c r="AM7" s="141" t="s">
        <v>235</v>
      </c>
      <c r="AN7" s="140"/>
    </row>
    <row r="8" spans="1:40">
      <c r="A8" s="141" t="s">
        <v>235</v>
      </c>
      <c r="B8" s="141" t="s">
        <v>47</v>
      </c>
      <c r="C8" s="141" t="s">
        <v>236</v>
      </c>
      <c r="D8" s="141" t="s">
        <v>48</v>
      </c>
      <c r="E8" s="141" t="s">
        <v>237</v>
      </c>
      <c r="F8" s="141" t="s">
        <v>238</v>
      </c>
      <c r="G8" s="142" t="s">
        <v>239</v>
      </c>
      <c r="H8" s="134">
        <v>4500</v>
      </c>
      <c r="I8" s="134">
        <v>0</v>
      </c>
      <c r="J8" s="134">
        <v>0</v>
      </c>
      <c r="K8" s="134">
        <v>144</v>
      </c>
      <c r="L8" s="134">
        <v>73.52</v>
      </c>
      <c r="M8" s="134">
        <v>9</v>
      </c>
      <c r="N8" s="134">
        <v>138</v>
      </c>
      <c r="O8" s="134">
        <v>0</v>
      </c>
      <c r="P8" s="134">
        <v>0</v>
      </c>
      <c r="Q8" s="134">
        <v>0</v>
      </c>
      <c r="R8" s="134">
        <v>0</v>
      </c>
      <c r="S8" s="134">
        <v>4500</v>
      </c>
      <c r="T8" s="134">
        <v>0</v>
      </c>
      <c r="U8" s="134">
        <v>5000</v>
      </c>
      <c r="V8" s="134">
        <v>364.52</v>
      </c>
      <c r="W8" s="134">
        <v>0</v>
      </c>
      <c r="X8" s="134">
        <v>0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>
        <v>0</v>
      </c>
      <c r="AE8" s="134">
        <v>0</v>
      </c>
      <c r="AF8" s="143">
        <v>0.03</v>
      </c>
      <c r="AG8" s="134">
        <v>0</v>
      </c>
      <c r="AH8" s="134">
        <v>0</v>
      </c>
      <c r="AI8" s="134">
        <v>0</v>
      </c>
      <c r="AJ8" s="134">
        <v>0</v>
      </c>
      <c r="AK8" s="134">
        <v>0</v>
      </c>
      <c r="AL8" s="134">
        <v>0</v>
      </c>
      <c r="AM8" s="141" t="s">
        <v>235</v>
      </c>
      <c r="AN8" s="140"/>
    </row>
    <row r="9" spans="1:40">
      <c r="A9" s="141" t="s">
        <v>235</v>
      </c>
      <c r="B9" s="141" t="s">
        <v>3</v>
      </c>
      <c r="C9" s="141" t="s">
        <v>236</v>
      </c>
      <c r="D9" s="141" t="s">
        <v>6</v>
      </c>
      <c r="E9" s="141" t="s">
        <v>237</v>
      </c>
      <c r="F9" s="141" t="s">
        <v>238</v>
      </c>
      <c r="G9" s="142" t="s">
        <v>239</v>
      </c>
      <c r="H9" s="134">
        <v>14597</v>
      </c>
      <c r="I9" s="134">
        <v>0</v>
      </c>
      <c r="J9" s="134">
        <v>0</v>
      </c>
      <c r="K9" s="134">
        <v>428.8</v>
      </c>
      <c r="L9" s="134">
        <v>110.2</v>
      </c>
      <c r="M9" s="134">
        <v>26.8</v>
      </c>
      <c r="N9" s="134">
        <v>1080</v>
      </c>
      <c r="O9" s="134">
        <v>0</v>
      </c>
      <c r="P9" s="134">
        <v>0</v>
      </c>
      <c r="Q9" s="134">
        <v>0</v>
      </c>
      <c r="R9" s="134">
        <v>0</v>
      </c>
      <c r="S9" s="134">
        <v>14597</v>
      </c>
      <c r="T9" s="134">
        <v>0</v>
      </c>
      <c r="U9" s="134">
        <v>5000</v>
      </c>
      <c r="V9" s="134">
        <v>1645.8</v>
      </c>
      <c r="W9" s="134">
        <v>1000</v>
      </c>
      <c r="X9" s="134">
        <v>0</v>
      </c>
      <c r="Y9" s="134">
        <v>1000</v>
      </c>
      <c r="Z9" s="134">
        <v>0</v>
      </c>
      <c r="AA9" s="134">
        <v>1000</v>
      </c>
      <c r="AB9" s="134">
        <v>0</v>
      </c>
      <c r="AC9" s="134">
        <v>0</v>
      </c>
      <c r="AD9" s="134">
        <v>0</v>
      </c>
      <c r="AE9" s="134">
        <v>4951.2</v>
      </c>
      <c r="AF9" s="143">
        <v>0.03</v>
      </c>
      <c r="AG9" s="134">
        <v>0</v>
      </c>
      <c r="AH9" s="134">
        <v>148.54</v>
      </c>
      <c r="AI9" s="134">
        <v>0</v>
      </c>
      <c r="AJ9" s="134">
        <v>148.54</v>
      </c>
      <c r="AK9" s="134">
        <v>0</v>
      </c>
      <c r="AL9" s="134">
        <v>148.54</v>
      </c>
      <c r="AM9" s="141" t="s">
        <v>235</v>
      </c>
      <c r="AN9" s="140"/>
    </row>
    <row r="10" spans="1:40">
      <c r="A10" s="141" t="s">
        <v>235</v>
      </c>
      <c r="B10" s="141" t="s">
        <v>51</v>
      </c>
      <c r="C10" s="141" t="s">
        <v>236</v>
      </c>
      <c r="D10" s="141" t="s">
        <v>52</v>
      </c>
      <c r="E10" s="141" t="s">
        <v>237</v>
      </c>
      <c r="F10" s="141" t="s">
        <v>238</v>
      </c>
      <c r="G10" s="142" t="s">
        <v>239</v>
      </c>
      <c r="H10" s="134">
        <v>14000</v>
      </c>
      <c r="I10" s="134">
        <v>0</v>
      </c>
      <c r="J10" s="134">
        <v>0</v>
      </c>
      <c r="K10" s="134">
        <v>274.39999999999998</v>
      </c>
      <c r="L10" s="134">
        <v>68.599999999999994</v>
      </c>
      <c r="M10" s="134">
        <v>17.149999999999999</v>
      </c>
      <c r="N10" s="134">
        <v>83</v>
      </c>
      <c r="O10" s="134">
        <v>0</v>
      </c>
      <c r="P10" s="134">
        <v>0</v>
      </c>
      <c r="Q10" s="134">
        <v>0</v>
      </c>
      <c r="R10" s="134">
        <v>0</v>
      </c>
      <c r="S10" s="134">
        <v>14000</v>
      </c>
      <c r="T10" s="134">
        <v>0</v>
      </c>
      <c r="U10" s="134">
        <v>5000</v>
      </c>
      <c r="V10" s="134">
        <v>443.15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8556.85</v>
      </c>
      <c r="AF10" s="143">
        <v>0.03</v>
      </c>
      <c r="AG10" s="134">
        <v>0</v>
      </c>
      <c r="AH10" s="134">
        <v>256.70999999999998</v>
      </c>
      <c r="AI10" s="134">
        <v>0</v>
      </c>
      <c r="AJ10" s="134">
        <v>256.70999999999998</v>
      </c>
      <c r="AK10" s="134">
        <v>0</v>
      </c>
      <c r="AL10" s="134">
        <v>256.70999999999998</v>
      </c>
      <c r="AM10" s="141" t="s">
        <v>235</v>
      </c>
      <c r="AN10" s="140"/>
    </row>
    <row r="11" spans="1:40">
      <c r="A11" s="141" t="s">
        <v>235</v>
      </c>
      <c r="B11" s="141" t="s">
        <v>2</v>
      </c>
      <c r="C11" s="141" t="s">
        <v>236</v>
      </c>
      <c r="D11" s="141" t="s">
        <v>5</v>
      </c>
      <c r="E11" s="141" t="s">
        <v>237</v>
      </c>
      <c r="F11" s="141" t="s">
        <v>238</v>
      </c>
      <c r="G11" s="142" t="s">
        <v>239</v>
      </c>
      <c r="H11" s="134">
        <v>8900</v>
      </c>
      <c r="I11" s="134">
        <v>0</v>
      </c>
      <c r="J11" s="134">
        <v>0</v>
      </c>
      <c r="K11" s="134">
        <v>428.8</v>
      </c>
      <c r="L11" s="134">
        <v>110.2</v>
      </c>
      <c r="M11" s="134">
        <v>26.8</v>
      </c>
      <c r="N11" s="134">
        <v>316</v>
      </c>
      <c r="O11" s="134">
        <v>0</v>
      </c>
      <c r="P11" s="134">
        <v>0</v>
      </c>
      <c r="Q11" s="134">
        <v>0</v>
      </c>
      <c r="R11" s="134">
        <v>0</v>
      </c>
      <c r="S11" s="134">
        <v>8900</v>
      </c>
      <c r="T11" s="134">
        <v>0</v>
      </c>
      <c r="U11" s="134">
        <v>5000</v>
      </c>
      <c r="V11" s="134">
        <v>881.8</v>
      </c>
      <c r="W11" s="134">
        <v>0</v>
      </c>
      <c r="X11" s="134">
        <v>0</v>
      </c>
      <c r="Y11" s="134"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3018.2</v>
      </c>
      <c r="AF11" s="143">
        <v>0.03</v>
      </c>
      <c r="AG11" s="134">
        <v>0</v>
      </c>
      <c r="AH11" s="134">
        <v>90.55</v>
      </c>
      <c r="AI11" s="134">
        <v>0</v>
      </c>
      <c r="AJ11" s="134">
        <v>90.55</v>
      </c>
      <c r="AK11" s="134">
        <v>0</v>
      </c>
      <c r="AL11" s="134">
        <v>90.55</v>
      </c>
      <c r="AM11" s="141" t="s">
        <v>235</v>
      </c>
      <c r="AN11" s="140"/>
    </row>
    <row r="12" spans="1:40">
      <c r="A12" s="141" t="s">
        <v>235</v>
      </c>
      <c r="B12" s="141" t="s">
        <v>61</v>
      </c>
      <c r="C12" s="141" t="s">
        <v>236</v>
      </c>
      <c r="D12" s="141" t="s">
        <v>62</v>
      </c>
      <c r="E12" s="141" t="s">
        <v>237</v>
      </c>
      <c r="F12" s="141" t="s">
        <v>238</v>
      </c>
      <c r="G12" s="142" t="s">
        <v>239</v>
      </c>
      <c r="H12" s="134">
        <v>16379.31</v>
      </c>
      <c r="I12" s="134">
        <v>0</v>
      </c>
      <c r="J12" s="134">
        <v>0</v>
      </c>
      <c r="K12" s="134">
        <v>274.39999999999998</v>
      </c>
      <c r="L12" s="134">
        <v>68.599999999999994</v>
      </c>
      <c r="M12" s="134">
        <v>17.149999999999999</v>
      </c>
      <c r="N12" s="134">
        <v>83</v>
      </c>
      <c r="O12" s="134">
        <v>0</v>
      </c>
      <c r="P12" s="134">
        <v>0</v>
      </c>
      <c r="Q12" s="134">
        <v>0</v>
      </c>
      <c r="R12" s="134">
        <v>0</v>
      </c>
      <c r="S12" s="134">
        <v>16379.31</v>
      </c>
      <c r="T12" s="134">
        <v>0</v>
      </c>
      <c r="U12" s="134">
        <v>5000</v>
      </c>
      <c r="V12" s="134">
        <v>443.15</v>
      </c>
      <c r="W12" s="134">
        <v>0</v>
      </c>
      <c r="X12" s="134">
        <v>0</v>
      </c>
      <c r="Y12" s="134">
        <v>0</v>
      </c>
      <c r="Z12" s="134">
        <v>0</v>
      </c>
      <c r="AA12" s="134">
        <v>0</v>
      </c>
      <c r="AB12" s="134">
        <v>0</v>
      </c>
      <c r="AC12" s="134">
        <v>0</v>
      </c>
      <c r="AD12" s="134">
        <v>0</v>
      </c>
      <c r="AE12" s="134">
        <v>10936.16</v>
      </c>
      <c r="AF12" s="143">
        <v>0.03</v>
      </c>
      <c r="AG12" s="134">
        <v>0</v>
      </c>
      <c r="AH12" s="134">
        <v>328.08</v>
      </c>
      <c r="AI12" s="134">
        <v>0</v>
      </c>
      <c r="AJ12" s="134">
        <v>328.08</v>
      </c>
      <c r="AK12" s="134">
        <v>0</v>
      </c>
      <c r="AL12" s="134">
        <v>328.08</v>
      </c>
      <c r="AM12" s="141" t="s">
        <v>235</v>
      </c>
      <c r="AN12" s="140"/>
    </row>
    <row r="13" spans="1:40">
      <c r="A13" s="141" t="s">
        <v>235</v>
      </c>
      <c r="B13" s="141" t="s">
        <v>40</v>
      </c>
      <c r="C13" s="141" t="s">
        <v>236</v>
      </c>
      <c r="D13" s="141" t="s">
        <v>41</v>
      </c>
      <c r="E13" s="141" t="s">
        <v>237</v>
      </c>
      <c r="F13" s="141" t="s">
        <v>238</v>
      </c>
      <c r="G13" s="142" t="s">
        <v>239</v>
      </c>
      <c r="H13" s="134">
        <v>3280</v>
      </c>
      <c r="I13" s="134">
        <v>0</v>
      </c>
      <c r="J13" s="134">
        <v>0</v>
      </c>
      <c r="K13" s="134">
        <v>428.8</v>
      </c>
      <c r="L13" s="134">
        <v>110.2</v>
      </c>
      <c r="M13" s="134">
        <v>26.8</v>
      </c>
      <c r="N13" s="134">
        <v>456</v>
      </c>
      <c r="O13" s="134">
        <v>0</v>
      </c>
      <c r="P13" s="134">
        <v>0</v>
      </c>
      <c r="Q13" s="134">
        <v>0</v>
      </c>
      <c r="R13" s="134">
        <v>0</v>
      </c>
      <c r="S13" s="134">
        <v>3280</v>
      </c>
      <c r="T13" s="134">
        <v>0</v>
      </c>
      <c r="U13" s="134">
        <v>5000</v>
      </c>
      <c r="V13" s="134">
        <v>1021.8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43">
        <v>0.03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41" t="s">
        <v>235</v>
      </c>
      <c r="AN13" s="140"/>
    </row>
    <row r="14" spans="1:40">
      <c r="A14" s="141" t="s">
        <v>235</v>
      </c>
      <c r="B14" s="141" t="s">
        <v>45</v>
      </c>
      <c r="C14" s="141" t="s">
        <v>236</v>
      </c>
      <c r="D14" s="141" t="s">
        <v>46</v>
      </c>
      <c r="E14" s="141" t="s">
        <v>237</v>
      </c>
      <c r="F14" s="141" t="s">
        <v>238</v>
      </c>
      <c r="G14" s="142" t="s">
        <v>239</v>
      </c>
      <c r="H14" s="134">
        <v>6068.97</v>
      </c>
      <c r="I14" s="134">
        <v>0</v>
      </c>
      <c r="J14" s="134">
        <v>0</v>
      </c>
      <c r="K14" s="134">
        <v>880</v>
      </c>
      <c r="L14" s="134">
        <v>223</v>
      </c>
      <c r="M14" s="134">
        <v>55</v>
      </c>
      <c r="N14" s="134">
        <v>1320</v>
      </c>
      <c r="O14" s="134">
        <v>0</v>
      </c>
      <c r="P14" s="134">
        <v>0</v>
      </c>
      <c r="Q14" s="134">
        <v>0</v>
      </c>
      <c r="R14" s="134">
        <v>0</v>
      </c>
      <c r="S14" s="134">
        <v>6068.97</v>
      </c>
      <c r="T14" s="134">
        <v>0</v>
      </c>
      <c r="U14" s="134">
        <v>5000</v>
      </c>
      <c r="V14" s="134">
        <v>2478</v>
      </c>
      <c r="W14" s="134">
        <v>0</v>
      </c>
      <c r="X14" s="134">
        <v>0</v>
      </c>
      <c r="Y14" s="134">
        <v>0</v>
      </c>
      <c r="Z14" s="134">
        <v>1500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43">
        <v>0.03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41" t="s">
        <v>235</v>
      </c>
      <c r="AN14" s="140"/>
    </row>
    <row r="15" spans="1:40">
      <c r="A15" s="141" t="s">
        <v>235</v>
      </c>
      <c r="B15" s="141" t="s">
        <v>240</v>
      </c>
      <c r="C15" s="141" t="s">
        <v>236</v>
      </c>
      <c r="D15" s="141" t="s">
        <v>37</v>
      </c>
      <c r="E15" s="141" t="s">
        <v>237</v>
      </c>
      <c r="F15" s="141" t="s">
        <v>238</v>
      </c>
      <c r="G15" s="142" t="s">
        <v>239</v>
      </c>
      <c r="H15" s="134">
        <v>13000</v>
      </c>
      <c r="I15" s="134">
        <v>0</v>
      </c>
      <c r="J15" s="134">
        <v>0</v>
      </c>
      <c r="K15" s="134">
        <v>428.8</v>
      </c>
      <c r="L15" s="134">
        <v>110.2</v>
      </c>
      <c r="M15" s="134">
        <v>26.8</v>
      </c>
      <c r="N15" s="134">
        <v>316</v>
      </c>
      <c r="O15" s="134">
        <v>0</v>
      </c>
      <c r="P15" s="134">
        <v>0</v>
      </c>
      <c r="Q15" s="134">
        <v>0</v>
      </c>
      <c r="R15" s="134">
        <v>0</v>
      </c>
      <c r="S15" s="134">
        <v>13000</v>
      </c>
      <c r="T15" s="134">
        <v>0</v>
      </c>
      <c r="U15" s="134">
        <v>5000</v>
      </c>
      <c r="V15" s="134">
        <v>881.8</v>
      </c>
      <c r="W15" s="134">
        <v>0</v>
      </c>
      <c r="X15" s="134">
        <v>0</v>
      </c>
      <c r="Y15" s="134">
        <v>0</v>
      </c>
      <c r="Z15" s="134">
        <v>1500</v>
      </c>
      <c r="AA15" s="134">
        <v>0</v>
      </c>
      <c r="AB15" s="134">
        <v>0</v>
      </c>
      <c r="AC15" s="134">
        <v>0</v>
      </c>
      <c r="AD15" s="134">
        <v>0</v>
      </c>
      <c r="AE15" s="134">
        <v>5618.2</v>
      </c>
      <c r="AF15" s="143">
        <v>0.03</v>
      </c>
      <c r="AG15" s="134">
        <v>0</v>
      </c>
      <c r="AH15" s="134">
        <v>168.55</v>
      </c>
      <c r="AI15" s="134">
        <v>0</v>
      </c>
      <c r="AJ15" s="134">
        <v>168.55</v>
      </c>
      <c r="AK15" s="134">
        <v>0</v>
      </c>
      <c r="AL15" s="134">
        <v>168.55</v>
      </c>
      <c r="AM15" s="141" t="s">
        <v>235</v>
      </c>
      <c r="AN15" s="140"/>
    </row>
    <row r="16" spans="1:40">
      <c r="A16" s="141" t="s">
        <v>235</v>
      </c>
      <c r="B16" s="141" t="s">
        <v>55</v>
      </c>
      <c r="C16" s="141" t="s">
        <v>236</v>
      </c>
      <c r="D16" s="141" t="s">
        <v>56</v>
      </c>
      <c r="E16" s="141" t="s">
        <v>237</v>
      </c>
      <c r="F16" s="141" t="s">
        <v>238</v>
      </c>
      <c r="G16" s="142" t="s">
        <v>239</v>
      </c>
      <c r="H16" s="134">
        <v>14000</v>
      </c>
      <c r="I16" s="134">
        <v>0</v>
      </c>
      <c r="J16" s="134">
        <v>0</v>
      </c>
      <c r="K16" s="134">
        <v>274.39999999999998</v>
      </c>
      <c r="L16" s="134">
        <v>68.599999999999994</v>
      </c>
      <c r="M16" s="134">
        <v>17.149999999999999</v>
      </c>
      <c r="N16" s="134">
        <v>83</v>
      </c>
      <c r="O16" s="134">
        <v>0</v>
      </c>
      <c r="P16" s="134">
        <v>0</v>
      </c>
      <c r="Q16" s="134">
        <v>0</v>
      </c>
      <c r="R16" s="134">
        <v>0</v>
      </c>
      <c r="S16" s="134">
        <v>14000</v>
      </c>
      <c r="T16" s="134">
        <v>0</v>
      </c>
      <c r="U16" s="134">
        <v>5000</v>
      </c>
      <c r="V16" s="134">
        <v>443.15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8556.85</v>
      </c>
      <c r="AF16" s="143">
        <v>0.03</v>
      </c>
      <c r="AG16" s="134">
        <v>0</v>
      </c>
      <c r="AH16" s="134">
        <v>256.70999999999998</v>
      </c>
      <c r="AI16" s="134">
        <v>0</v>
      </c>
      <c r="AJ16" s="134">
        <v>256.70999999999998</v>
      </c>
      <c r="AK16" s="134">
        <v>0</v>
      </c>
      <c r="AL16" s="134">
        <v>256.70999999999998</v>
      </c>
      <c r="AM16" s="141" t="s">
        <v>235</v>
      </c>
      <c r="AN16" s="140"/>
    </row>
    <row r="17" spans="1:40">
      <c r="A17" s="141" t="s">
        <v>235</v>
      </c>
      <c r="B17" s="141" t="s">
        <v>241</v>
      </c>
      <c r="C17" s="141" t="s">
        <v>236</v>
      </c>
      <c r="D17" s="141" t="s">
        <v>44</v>
      </c>
      <c r="E17" s="141" t="s">
        <v>237</v>
      </c>
      <c r="F17" s="141" t="s">
        <v>238</v>
      </c>
      <c r="G17" s="142" t="s">
        <v>239</v>
      </c>
      <c r="H17" s="134">
        <v>6068.97</v>
      </c>
      <c r="I17" s="134">
        <v>0</v>
      </c>
      <c r="J17" s="134">
        <v>0</v>
      </c>
      <c r="K17" s="134">
        <v>428.8</v>
      </c>
      <c r="L17" s="134">
        <v>110.2</v>
      </c>
      <c r="M17" s="134">
        <v>26.8</v>
      </c>
      <c r="N17" s="134">
        <v>643</v>
      </c>
      <c r="O17" s="134">
        <v>0</v>
      </c>
      <c r="P17" s="134">
        <v>0</v>
      </c>
      <c r="Q17" s="134">
        <v>0</v>
      </c>
      <c r="R17" s="134">
        <v>0</v>
      </c>
      <c r="S17" s="134">
        <v>6068.97</v>
      </c>
      <c r="T17" s="134">
        <v>0</v>
      </c>
      <c r="U17" s="134">
        <v>5000</v>
      </c>
      <c r="V17" s="134">
        <v>1208.8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43">
        <v>0.03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41" t="s">
        <v>235</v>
      </c>
      <c r="AN17" s="140"/>
    </row>
    <row r="18" spans="1:40">
      <c r="A18" s="141" t="s">
        <v>235</v>
      </c>
      <c r="B18" s="141" t="s">
        <v>53</v>
      </c>
      <c r="C18" s="141" t="s">
        <v>236</v>
      </c>
      <c r="D18" s="141" t="s">
        <v>54</v>
      </c>
      <c r="E18" s="141" t="s">
        <v>237</v>
      </c>
      <c r="F18" s="141" t="s">
        <v>238</v>
      </c>
      <c r="G18" s="142" t="s">
        <v>239</v>
      </c>
      <c r="H18" s="134">
        <v>25034.48</v>
      </c>
      <c r="I18" s="134">
        <v>0</v>
      </c>
      <c r="J18" s="134">
        <v>0</v>
      </c>
      <c r="K18" s="134">
        <v>274.39999999999998</v>
      </c>
      <c r="L18" s="134">
        <v>68.599999999999994</v>
      </c>
      <c r="M18" s="134">
        <v>17.149999999999999</v>
      </c>
      <c r="N18" s="134">
        <v>83</v>
      </c>
      <c r="O18" s="134">
        <v>0</v>
      </c>
      <c r="P18" s="134">
        <v>0</v>
      </c>
      <c r="Q18" s="134">
        <v>0</v>
      </c>
      <c r="R18" s="134">
        <v>0</v>
      </c>
      <c r="S18" s="134">
        <v>25034.48</v>
      </c>
      <c r="T18" s="134">
        <v>0</v>
      </c>
      <c r="U18" s="134">
        <v>5000</v>
      </c>
      <c r="V18" s="134">
        <v>443.15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19591.330000000002</v>
      </c>
      <c r="AF18" s="143">
        <v>0.03</v>
      </c>
      <c r="AG18" s="134">
        <v>0</v>
      </c>
      <c r="AH18" s="134">
        <v>587.74</v>
      </c>
      <c r="AI18" s="134">
        <v>0</v>
      </c>
      <c r="AJ18" s="134">
        <v>587.74</v>
      </c>
      <c r="AK18" s="134">
        <v>0</v>
      </c>
      <c r="AL18" s="134">
        <v>587.74</v>
      </c>
      <c r="AM18" s="141" t="s">
        <v>235</v>
      </c>
      <c r="AN18" s="140"/>
    </row>
    <row r="19" spans="1:40">
      <c r="A19" s="141" t="s">
        <v>235</v>
      </c>
      <c r="B19" s="141" t="s">
        <v>42</v>
      </c>
      <c r="C19" s="141" t="s">
        <v>236</v>
      </c>
      <c r="D19" s="141" t="s">
        <v>43</v>
      </c>
      <c r="E19" s="141" t="s">
        <v>237</v>
      </c>
      <c r="F19" s="141" t="s">
        <v>238</v>
      </c>
      <c r="G19" s="142" t="s">
        <v>239</v>
      </c>
      <c r="H19" s="134">
        <v>3280</v>
      </c>
      <c r="I19" s="134">
        <v>0</v>
      </c>
      <c r="J19" s="134">
        <v>0</v>
      </c>
      <c r="K19" s="134">
        <v>428.8</v>
      </c>
      <c r="L19" s="134">
        <v>110.2</v>
      </c>
      <c r="M19" s="134">
        <v>26.8</v>
      </c>
      <c r="N19" s="134">
        <v>456</v>
      </c>
      <c r="O19" s="134">
        <v>0</v>
      </c>
      <c r="P19" s="134">
        <v>0</v>
      </c>
      <c r="Q19" s="134">
        <v>0</v>
      </c>
      <c r="R19" s="134">
        <v>0</v>
      </c>
      <c r="S19" s="134">
        <v>3280</v>
      </c>
      <c r="T19" s="134">
        <v>0</v>
      </c>
      <c r="U19" s="134">
        <v>5000</v>
      </c>
      <c r="V19" s="134">
        <v>1021.8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43">
        <v>0.03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41" t="s">
        <v>235</v>
      </c>
      <c r="AN19" s="140"/>
    </row>
    <row r="20" spans="1:40">
      <c r="A20" s="141" t="s">
        <v>235</v>
      </c>
      <c r="B20" s="141" t="s">
        <v>59</v>
      </c>
      <c r="C20" s="141" t="s">
        <v>236</v>
      </c>
      <c r="D20" s="141" t="s">
        <v>60</v>
      </c>
      <c r="E20" s="141" t="s">
        <v>237</v>
      </c>
      <c r="F20" s="141" t="s">
        <v>238</v>
      </c>
      <c r="G20" s="142" t="s">
        <v>239</v>
      </c>
      <c r="H20" s="134">
        <v>11000</v>
      </c>
      <c r="I20" s="134">
        <v>0</v>
      </c>
      <c r="J20" s="134">
        <v>0</v>
      </c>
      <c r="K20" s="134">
        <v>274.39999999999998</v>
      </c>
      <c r="L20" s="134">
        <v>68.599999999999994</v>
      </c>
      <c r="M20" s="134">
        <v>17.149999999999999</v>
      </c>
      <c r="N20" s="134">
        <v>1320</v>
      </c>
      <c r="O20" s="134">
        <v>0</v>
      </c>
      <c r="P20" s="134">
        <v>0</v>
      </c>
      <c r="Q20" s="134">
        <v>0</v>
      </c>
      <c r="R20" s="134">
        <v>0</v>
      </c>
      <c r="S20" s="134">
        <v>11000</v>
      </c>
      <c r="T20" s="134">
        <v>0</v>
      </c>
      <c r="U20" s="134">
        <v>5000</v>
      </c>
      <c r="V20" s="134">
        <v>1680.15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4319.8500000000004</v>
      </c>
      <c r="AF20" s="143">
        <v>0.03</v>
      </c>
      <c r="AG20" s="134">
        <v>0</v>
      </c>
      <c r="AH20" s="134">
        <v>129.6</v>
      </c>
      <c r="AI20" s="134">
        <v>0</v>
      </c>
      <c r="AJ20" s="134">
        <v>129.6</v>
      </c>
      <c r="AK20" s="134">
        <v>0</v>
      </c>
      <c r="AL20" s="134">
        <v>129.6</v>
      </c>
      <c r="AM20" s="141" t="s">
        <v>235</v>
      </c>
      <c r="AN20" s="140"/>
    </row>
    <row r="21" spans="1:40">
      <c r="A21" s="141"/>
      <c r="B21" s="141"/>
      <c r="C21" s="141"/>
      <c r="D21" s="141"/>
      <c r="E21" s="140"/>
      <c r="F21" s="140"/>
      <c r="G21" s="140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43"/>
      <c r="AG21" s="134"/>
      <c r="AH21" s="134"/>
      <c r="AI21" s="134"/>
      <c r="AJ21" s="134"/>
      <c r="AK21" s="134"/>
      <c r="AL21" s="134"/>
      <c r="AM21" s="141"/>
      <c r="AN21" s="140"/>
    </row>
    <row r="22" spans="1:40">
      <c r="A22" s="141"/>
      <c r="B22" s="141"/>
      <c r="C22" s="141"/>
      <c r="D22" s="141"/>
      <c r="E22" s="140"/>
      <c r="F22" s="140"/>
      <c r="G22" s="140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43"/>
      <c r="AG22" s="134"/>
      <c r="AH22" s="134"/>
      <c r="AI22" s="134"/>
      <c r="AJ22" s="134"/>
      <c r="AK22" s="134"/>
      <c r="AL22" s="134"/>
      <c r="AM22" s="141"/>
      <c r="AN22" s="140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海淀分公司工资表</vt:lpstr>
      <vt:lpstr>社保</vt:lpstr>
      <vt:lpstr>缴费比例</vt:lpstr>
      <vt:lpstr>福州</vt:lpstr>
      <vt:lpstr>合肥</vt:lpstr>
      <vt:lpstr>个税系统表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2022-01-21T03:47:49Z</dcterms:modified>
</cp:coreProperties>
</file>