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417" firstSheet="1" activeTab="1"/>
  </bookViews>
  <sheets>
    <sheet name="（居民）工资表-1月" sheetId="1" state="hidden" r:id="rId1"/>
    <sheet name="付款通知" sheetId="26" r:id="rId2"/>
    <sheet name="（居民）工资表-2月" sheetId="15" state="hidden" r:id="rId3"/>
    <sheet name="（居民）工资表-3月" sheetId="16" state="hidden" r:id="rId4"/>
    <sheet name="社保" sheetId="27" state="hidden" r:id="rId5"/>
    <sheet name="（居民）工资表-4月" sheetId="17" state="hidden" r:id="rId6"/>
    <sheet name="（居民）工资表-5月" sheetId="18" state="hidden" r:id="rId7"/>
    <sheet name="社保1" sheetId="28" state="hidden" r:id="rId8"/>
    <sheet name="（居民）工资表-6月" sheetId="19" state="hidden" r:id="rId9"/>
    <sheet name="（居民）工资表-7月" sheetId="20" state="hidden" r:id="rId10"/>
    <sheet name="增减" sheetId="29" state="hidden" r:id="rId11"/>
    <sheet name="（居民）工资表-8月" sheetId="21" r:id="rId12"/>
    <sheet name="（居民）工资表-9月" sheetId="22" state="hidden" r:id="rId13"/>
    <sheet name="（居民）工资表-10月" sheetId="23" state="hidden" r:id="rId14"/>
    <sheet name="（居民）工资表-11月" sheetId="24" state="hidden" r:id="rId15"/>
    <sheet name="（居民）工资表-12月" sheetId="25" state="hidden" r:id="rId16"/>
    <sheet name="Sheet1" sheetId="14" state="hidden" r:id="rId17"/>
  </sheets>
  <definedNames>
    <definedName name="_xlnm._FilterDatabase" localSheetId="0" hidden="1">'（居民）工资表-1月'!$A$3:$AT$6</definedName>
    <definedName name="_xlnm._FilterDatabase" localSheetId="2" hidden="1">'（居民）工资表-2月'!$A$3:$AT$6</definedName>
    <definedName name="_xlnm._FilterDatabase" localSheetId="3" hidden="1">'（居民）工资表-3月'!$A$3:$AT$6</definedName>
    <definedName name="_xlnm._FilterDatabase" localSheetId="5" hidden="1">'（居民）工资表-4月'!$A$3:$AT$7</definedName>
    <definedName name="_xlnm._FilterDatabase" localSheetId="6" hidden="1">'（居民）工资表-5月'!$A$3:$AT$8</definedName>
    <definedName name="_xlnm._FilterDatabase" localSheetId="8" hidden="1">'（居民）工资表-6月'!$A$3:$AT$8</definedName>
    <definedName name="_xlnm._FilterDatabase" localSheetId="9" hidden="1">'（居民）工资表-7月'!$A$3:$AT$9</definedName>
    <definedName name="_xlnm._FilterDatabase" localSheetId="11" hidden="1">'（居民）工资表-8月'!$A$3:$AT$8</definedName>
    <definedName name="_xlnm._FilterDatabase" localSheetId="12" hidden="1">'（居民）工资表-9月'!$A$3:$AT$24</definedName>
    <definedName name="_xlnm._FilterDatabase" localSheetId="13" hidden="1">'（居民）工资表-10月'!$A$3:$AT$24</definedName>
    <definedName name="_xlnm._FilterDatabase" localSheetId="14" hidden="1">'（居民）工资表-11月'!$A$3:$AT$24</definedName>
    <definedName name="_xlnm._FilterDatabase" localSheetId="15" hidden="1">'（居民）工资表-12月'!$A$3:$AT$24</definedName>
    <definedName name="_xlnm.Print_Area" localSheetId="13">'（居民）工资表-10月'!$A$1:$AT$30</definedName>
    <definedName name="_xlnm.Print_Area" localSheetId="14">'（居民）工资表-11月'!$A$1:$AT$30</definedName>
    <definedName name="_xlnm.Print_Area" localSheetId="15">'（居民）工资表-12月'!$A$1:$AT$30</definedName>
    <definedName name="_xlnm.Print_Area" localSheetId="0">'（居民）工资表-1月'!$A$1:$AT$12</definedName>
    <definedName name="_xlnm.Print_Area" localSheetId="2">'（居民）工资表-2月'!$A$1:$AT$12</definedName>
    <definedName name="_xlnm.Print_Area" localSheetId="3">'（居民）工资表-3月'!$A$1:$AT$12</definedName>
    <definedName name="_xlnm.Print_Area" localSheetId="5">'（居民）工资表-4月'!$A$1:$AT$13</definedName>
    <definedName name="_xlnm.Print_Area" localSheetId="6">'（居民）工资表-5月'!$A$1:$AT$14</definedName>
    <definedName name="_xlnm.Print_Area" localSheetId="8">'（居民）工资表-6月'!$A$1:$AT$14</definedName>
    <definedName name="_xlnm.Print_Area" localSheetId="9">'（居民）工资表-7月'!$A$1:$AT$15</definedName>
    <definedName name="_xlnm.Print_Area" localSheetId="11">'（居民）工资表-8月'!$A$1:$AT$14</definedName>
    <definedName name="_xlnm.Print_Area" localSheetId="12">'（居民）工资表-9月'!$A$1:$AT$30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<sst xmlns="http://schemas.openxmlformats.org/spreadsheetml/2006/main" count="1686" uniqueCount="276">
  <si>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</si>
  <si>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</si>
  <si>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</si>
  <si>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</si>
  <si>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</si>
  <si>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</si>
  <si>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</si>
  <si>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</si>
  <si>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</si>
  <si>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</si>
  <si>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</si>
  <si>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</si>
  <si>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</si>
  <si>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</si>
  <si>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</si>
  <si>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</si>
  <si>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</si>
  <si>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</si>
  <si>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</si>
  <si>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</si>
  <si>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</si>
  <si>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</si>
  <si>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</si>
  <si>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</si>
  <si>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</si>
  <si>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</si>
  <si>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</si>
  <si>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</si>
  <si>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</si>
  <si>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</si>
  <si>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</si>
  <si>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</si>
  <si>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</si>
  <si>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</si>
  <si>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</si>
  <si>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</si>
  <si>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</si>
  <si>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</si>
  <si>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</si>
  <si>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</si>
  <si>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</si>
  <si>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</si>
  <si>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</si>
  <si>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</si>
  <si>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</si>
  <si>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</si>
  <si>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</si>
  <si>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</si>
  <si>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</si>
  <si>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</si>
  <si>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</si>
  <si>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赵强</t>
  </si>
  <si>
    <t>身份证</t>
  </si>
  <si>
    <t>142732199004126819</t>
  </si>
  <si>
    <t>622848 0018992539579</t>
  </si>
  <si>
    <t>中国农业银行北京永丰路支行</t>
  </si>
  <si>
    <t>农行</t>
  </si>
  <si>
    <t>冯月燕</t>
  </si>
  <si>
    <t>440602197506030928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</si>
  <si>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</si>
  <si>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</si>
  <si>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</si>
  <si>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</si>
  <si>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</si>
  <si>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</si>
  <si>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</si>
  <si>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</si>
  <si>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</si>
  <si>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</si>
  <si>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</si>
  <si>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</si>
  <si>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</si>
  <si>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付款通知书</t>
  </si>
  <si>
    <t>尊敬的客户：北京创联致信科技有限公司</t>
  </si>
  <si>
    <t>根据贵公司与我公司所签订的服务协议，请贵公司在2021年8月6日之前按照下列表格内容支付相关款项.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</si>
  <si>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</si>
  <si>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</si>
  <si>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</si>
  <si>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</si>
  <si>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</si>
  <si>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</si>
  <si>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</si>
  <si>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</si>
  <si>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</si>
  <si>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</si>
  <si>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</si>
  <si>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</si>
  <si>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</si>
  <si>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</si>
  <si>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</si>
  <si>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</si>
  <si>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</si>
  <si>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</si>
  <si>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</si>
  <si>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</si>
  <si>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</si>
  <si>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</si>
  <si>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</si>
  <si>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</si>
  <si>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</si>
  <si>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</si>
  <si>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</si>
  <si>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</si>
  <si>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</si>
  <si>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</si>
  <si>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历史结余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</si>
  <si>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</si>
  <si>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</si>
  <si>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</si>
  <si>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</si>
  <si>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</si>
  <si>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</si>
  <si>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</si>
  <si>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</si>
  <si>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</si>
  <si>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</si>
  <si>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</si>
  <si>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</si>
  <si>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</si>
  <si>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</si>
  <si>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</si>
  <si>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</si>
  <si>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</si>
  <si>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</si>
  <si>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</si>
  <si>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</si>
  <si>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</si>
  <si>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</si>
  <si>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</si>
  <si>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</si>
  <si>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</si>
  <si>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</si>
  <si>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</si>
  <si>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</si>
  <si>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</si>
  <si>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</si>
  <si>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</si>
  <si>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</si>
  <si>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</si>
  <si>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</si>
  <si>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北京创联致信科技有限公司</t>
  </si>
  <si>
    <t>太原</t>
  </si>
  <si>
    <t>代理</t>
  </si>
  <si>
    <t>山西鼎诺</t>
  </si>
  <si>
    <t>202010</t>
  </si>
  <si>
    <t>202004</t>
  </si>
  <si>
    <t xml:space="preserve"> </t>
  </si>
  <si>
    <t>202005</t>
  </si>
  <si>
    <t>202006</t>
  </si>
  <si>
    <t>广州</t>
  </si>
  <si>
    <t>易才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</si>
  <si>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</si>
  <si>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</si>
  <si>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</si>
  <si>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</si>
  <si>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</si>
  <si>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</si>
  <si>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</si>
  <si>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</si>
  <si>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</si>
  <si>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</si>
  <si>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</si>
  <si>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</si>
  <si>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</si>
  <si>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莫文太</t>
  </si>
  <si>
    <t>430822198211098211</t>
  </si>
  <si>
    <t>202008</t>
  </si>
  <si>
    <t>202009</t>
  </si>
  <si>
    <t>长沙</t>
  </si>
  <si>
    <t>202105</t>
  </si>
  <si>
    <t>202107</t>
  </si>
  <si>
    <t>202108</t>
  </si>
  <si>
    <t>202109</t>
  </si>
  <si>
    <t>202106</t>
  </si>
  <si>
    <t>梁敏霞</t>
  </si>
  <si>
    <t>14262519910503392X</t>
  </si>
  <si>
    <t>代发薪服务费收取</t>
  </si>
  <si>
    <t>男</t>
  </si>
  <si>
    <t>女</t>
  </si>
  <si>
    <t>440883199611084547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</si>
  <si>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</si>
  <si>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</si>
  <si>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</si>
  <si>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</si>
  <si>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</si>
  <si>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</si>
  <si>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</si>
  <si>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</si>
  <si>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</si>
  <si>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</si>
  <si>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</si>
  <si>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</si>
  <si>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</si>
  <si>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</si>
  <si>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</si>
  <si>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</si>
  <si>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</si>
  <si>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</si>
  <si>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</si>
  <si>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</si>
  <si>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</si>
  <si>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</si>
  <si>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</si>
  <si>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</si>
  <si>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</si>
  <si>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t>首次参加工作时间（仅大连地区填写）</t>
  </si>
  <si>
    <t>采暖统筹
是否缴纳（仅大连地区填写）</t>
  </si>
  <si>
    <t>福利开始时间
（与起缴月一致）（仅大连地区填写）</t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</si>
  <si>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</si>
  <si>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</si>
  <si>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</si>
  <si>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</si>
  <si>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</si>
  <si>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</si>
  <si>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</si>
  <si>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</si>
  <si>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</si>
  <si>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北京易才博普奥</t>
  </si>
  <si>
    <t>湖南长沙</t>
  </si>
  <si>
    <t>本地农村</t>
  </si>
  <si>
    <t>长春</t>
  </si>
  <si>
    <t>调入</t>
  </si>
  <si>
    <t>2021.05</t>
  </si>
  <si>
    <t>5%</t>
  </si>
  <si>
    <t>4000</t>
  </si>
  <si>
    <t>是</t>
  </si>
  <si>
    <t>减</t>
  </si>
  <si>
    <t>XX公司</t>
  </si>
  <si>
    <t>411324199504212820</t>
  </si>
  <si>
    <t>220221199007200094</t>
  </si>
  <si>
    <t>411224197103091429</t>
  </si>
  <si>
    <t>142625199110093943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</si>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</sst>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6">
    <numFmt numFmtId="42" formatCode="_ &quot;￥&quot;* #,##0_ ;_ &quot;￥&quot;* \-#,##0_ ;_ &quot;￥&quot;* &quot;-&quot;_ ;_ @_ "/>
    <numFmt numFmtId="176" formatCode="#,##0.00_);[Red]\(#,##0.00\)"/>
    <numFmt numFmtId="177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 "/>
    <numFmt numFmtId="179" formatCode="0.00_);[Red]\(0.00\)"/>
    <numFmt numFmtId="180" formatCode="#,##0_);[Red]\(#,##0\)"/>
    <numFmt numFmtId="181" formatCode="[$-10432]yyyy/mm/dd;@"/>
    <numFmt numFmtId="182" formatCode="0.00;[Red]0.00"/>
    <numFmt numFmtId="183" formatCode="&quot;$&quot;0_ "/>
    <numFmt numFmtId="184" formatCode="[DBNum2][$-804]General"/>
    <numFmt numFmtId="185" formatCode="&quot;$&quot;#,##0_ ;[Red]\-&quot;$&quot;#,##0_ "/>
    <numFmt numFmtId="186" formatCode="General\ &quot;年&quot;"/>
    <numFmt numFmtId="187" formatCode="0.00_);\(0.00\)"/>
  </numFmts>
  <fonts count="1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微软雅黑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.5"/>
      <color rgb="FF191F25"/>
      <name val="宋体"/>
      <charset val="134"/>
    </font>
    <font>
      <sz val="10"/>
      <color rgb="FF171A1D"/>
      <name val="Segoe UI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theme="1"/>
      <name val="宋体"/>
      <charset val="134"/>
      <scheme val="minor"/>
    </font>
    <font>
      <b/>
      <sz val="10"/>
      <color indexed="10"/>
      <name val="宋体"/>
      <charset val="134"/>
      <scheme val="minor"/>
    </font>
    <font>
      <b/>
      <sz val="10"/>
      <name val="微软雅黑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color rgb="FFFF0000"/>
      <name val="SimSun"/>
      <charset val="134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name val="宋体"/>
      <charset val="134"/>
    </font>
    <font>
      <sz val="10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indexed="8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0"/>
      <name val="Geneva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0"/>
      <color indexed="8"/>
      <name val="Arial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u/>
      <sz val="10"/>
      <color indexed="12"/>
      <name val="新細明體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11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</borders>
  <cellStyleXfs count="4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5" fillId="18" borderId="48" applyNumberFormat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3" fillId="16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73" fillId="0" borderId="0">
      <alignment vertical="center"/>
    </xf>
    <xf numFmtId="0" fontId="97" fillId="0" borderId="5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9" fillId="0" borderId="0"/>
    <xf numFmtId="0" fontId="93" fillId="34" borderId="0" applyNumberFormat="0" applyBorder="0" applyAlignment="0" applyProtection="0">
      <alignment vertical="center"/>
    </xf>
    <xf numFmtId="0" fontId="99" fillId="22" borderId="45" applyNumberFormat="0" applyAlignment="0" applyProtection="0">
      <alignment vertical="center"/>
    </xf>
    <xf numFmtId="0" fontId="106" fillId="32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5" borderId="55" applyNumberFormat="0" applyFont="0" applyAlignment="0" applyProtection="0">
      <alignment vertical="center"/>
    </xf>
    <xf numFmtId="0" fontId="6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92" fillId="3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4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7" fillId="0" borderId="53" applyNumberFormat="0" applyFill="0" applyAlignment="0" applyProtection="0">
      <alignment vertical="center"/>
    </xf>
    <xf numFmtId="0" fontId="100" fillId="0" borderId="0"/>
    <xf numFmtId="0" fontId="108" fillId="0" borderId="53" applyNumberFormat="0" applyFill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110" fillId="0" borderId="54" applyNumberFormat="0" applyFill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119" fillId="36" borderId="60" applyNumberFormat="0" applyAlignment="0" applyProtection="0">
      <alignment vertical="center"/>
    </xf>
    <xf numFmtId="0" fontId="112" fillId="36" borderId="48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99" fillId="22" borderId="45" applyNumberFormat="0" applyAlignment="0" applyProtection="0">
      <alignment vertical="center"/>
    </xf>
    <xf numFmtId="0" fontId="94" fillId="17" borderId="47" applyNumberFormat="0" applyAlignment="0" applyProtection="0">
      <alignment vertical="center"/>
    </xf>
    <xf numFmtId="0" fontId="89" fillId="0" borderId="0">
      <alignment vertical="center"/>
    </xf>
    <xf numFmtId="0" fontId="93" fillId="30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115" fillId="0" borderId="58" applyNumberFormat="0" applyFill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0" borderId="46" applyNumberFormat="0" applyFill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113" fillId="37" borderId="0" applyNumberFormat="0" applyBorder="0" applyAlignment="0" applyProtection="0">
      <alignment vertical="center"/>
    </xf>
    <xf numFmtId="0" fontId="89" fillId="0" borderId="0">
      <alignment vertical="center"/>
    </xf>
    <xf numFmtId="0" fontId="96" fillId="22" borderId="50" applyNumberFormat="0" applyAlignment="0" applyProtection="0">
      <alignment vertical="center"/>
    </xf>
    <xf numFmtId="0" fontId="93" fillId="46" borderId="0" applyNumberFormat="0" applyBorder="0" applyAlignment="0" applyProtection="0">
      <alignment vertical="center"/>
    </xf>
    <xf numFmtId="0" fontId="89" fillId="0" borderId="0"/>
    <xf numFmtId="0" fontId="111" fillId="6" borderId="56" applyNumberFormat="0" applyAlignment="0" applyProtection="0">
      <alignment vertical="center"/>
    </xf>
    <xf numFmtId="0" fontId="92" fillId="47" borderId="0" applyNumberFormat="0" applyBorder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93" fillId="49" borderId="0" applyNumberFormat="0" applyBorder="0" applyAlignment="0" applyProtection="0">
      <alignment vertical="center"/>
    </xf>
    <xf numFmtId="0" fontId="73" fillId="0" borderId="0"/>
    <xf numFmtId="0" fontId="6" fillId="38" borderId="0" applyNumberFormat="0" applyBorder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93" fillId="51" borderId="0" applyNumberFormat="0" applyBorder="0" applyAlignment="0" applyProtection="0">
      <alignment vertical="center"/>
    </xf>
    <xf numFmtId="0" fontId="93" fillId="52" borderId="0" applyNumberFormat="0" applyBorder="0" applyAlignment="0" applyProtection="0">
      <alignment vertical="center"/>
    </xf>
    <xf numFmtId="0" fontId="92" fillId="53" borderId="0" applyNumberFormat="0" applyBorder="0" applyAlignment="0" applyProtection="0">
      <alignment vertical="center"/>
    </xf>
    <xf numFmtId="0" fontId="92" fillId="54" borderId="0" applyNumberFormat="0" applyBorder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93" fillId="55" borderId="0" applyNumberFormat="0" applyBorder="0" applyAlignment="0" applyProtection="0">
      <alignment vertical="center"/>
    </xf>
    <xf numFmtId="0" fontId="99" fillId="22" borderId="45" applyNumberFormat="0" applyAlignment="0" applyProtection="0">
      <alignment vertical="center"/>
    </xf>
    <xf numFmtId="0" fontId="93" fillId="56" borderId="0" applyNumberFormat="0" applyBorder="0" applyAlignment="0" applyProtection="0">
      <alignment vertical="center"/>
    </xf>
    <xf numFmtId="0" fontId="92" fillId="57" borderId="0" applyNumberFormat="0" applyBorder="0" applyAlignment="0" applyProtection="0">
      <alignment vertical="center"/>
    </xf>
    <xf numFmtId="0" fontId="99" fillId="22" borderId="45" applyNumberFormat="0" applyAlignment="0" applyProtection="0">
      <alignment vertical="center"/>
    </xf>
    <xf numFmtId="0" fontId="93" fillId="4" borderId="0" applyNumberFormat="0" applyBorder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92" fillId="58" borderId="0" applyNumberFormat="0" applyBorder="0" applyAlignment="0" applyProtection="0">
      <alignment vertical="center"/>
    </xf>
    <xf numFmtId="0" fontId="92" fillId="4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9" fillId="22" borderId="45" applyNumberFormat="0" applyAlignment="0" applyProtection="0">
      <alignment vertical="center"/>
    </xf>
    <xf numFmtId="0" fontId="103" fillId="31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2" fillId="60" borderId="0" applyNumberFormat="0" applyBorder="0" applyAlignment="0" applyProtection="0">
      <alignment vertical="center"/>
    </xf>
    <xf numFmtId="0" fontId="73" fillId="0" borderId="0"/>
    <xf numFmtId="0" fontId="114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3" fillId="0" borderId="0"/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9" fillId="0" borderId="0">
      <alignment vertical="center"/>
    </xf>
    <xf numFmtId="0" fontId="120" fillId="26" borderId="0" applyNumberFormat="0" applyBorder="0" applyAlignment="0" applyProtection="0">
      <alignment vertical="center"/>
    </xf>
    <xf numFmtId="0" fontId="73" fillId="0" borderId="0"/>
    <xf numFmtId="0" fontId="6" fillId="13" borderId="0" applyNumberFormat="0" applyBorder="0" applyAlignment="0" applyProtection="0">
      <alignment vertical="center"/>
    </xf>
    <xf numFmtId="0" fontId="89" fillId="0" borderId="0"/>
    <xf numFmtId="0" fontId="90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26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96" fillId="22" borderId="50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96" fillId="22" borderId="50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88" fillId="12" borderId="45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96" fillId="22" borderId="50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9" fillId="0" borderId="0"/>
    <xf numFmtId="0" fontId="96" fillId="22" borderId="5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120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9" fillId="22" borderId="4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9" fillId="22" borderId="4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9" fillId="22" borderId="4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9" fillId="22" borderId="4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9" fillId="22" borderId="4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99" fillId="22" borderId="45" applyNumberFormat="0" applyAlignment="0" applyProtection="0">
      <alignment vertical="center"/>
    </xf>
    <xf numFmtId="0" fontId="111" fillId="6" borderId="56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111" fillId="6" borderId="56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99" fillId="22" borderId="45" applyNumberFormat="0" applyAlignment="0" applyProtection="0">
      <alignment vertical="center"/>
    </xf>
    <xf numFmtId="0" fontId="88" fillId="12" borderId="45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99" fillId="22" borderId="45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88" fillId="12" borderId="45" applyNumberForma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99" fillId="22" borderId="45" applyNumberFormat="0" applyAlignment="0" applyProtection="0">
      <alignment vertical="center"/>
    </xf>
    <xf numFmtId="0" fontId="103" fillId="3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103" fillId="3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0" borderId="59" applyNumberFormat="0" applyFont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28" borderId="0" applyNumberFormat="0" applyBorder="0" applyAlignment="0" applyProtection="0">
      <alignment vertical="center"/>
    </xf>
    <xf numFmtId="0" fontId="8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90" fillId="2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0" fillId="29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178" fontId="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20" fillId="26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104" fillId="0" borderId="52" applyNumberFormat="0" applyFill="0" applyAlignment="0" applyProtection="0">
      <alignment vertical="center"/>
    </xf>
    <xf numFmtId="0" fontId="104" fillId="0" borderId="52" applyNumberFormat="0" applyFill="0" applyAlignment="0" applyProtection="0">
      <alignment vertical="center"/>
    </xf>
    <xf numFmtId="0" fontId="104" fillId="0" borderId="52" applyNumberFormat="0" applyFill="0" applyAlignment="0" applyProtection="0">
      <alignment vertical="center"/>
    </xf>
    <xf numFmtId="0" fontId="104" fillId="0" borderId="52" applyNumberFormat="0" applyFill="0" applyAlignment="0" applyProtection="0">
      <alignment vertical="center"/>
    </xf>
    <xf numFmtId="0" fontId="104" fillId="0" borderId="52" applyNumberFormat="0" applyFill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104" fillId="0" borderId="52" applyNumberFormat="0" applyFill="0" applyAlignment="0" applyProtection="0">
      <alignment vertical="center"/>
    </xf>
    <xf numFmtId="0" fontId="104" fillId="0" borderId="52" applyNumberFormat="0" applyFill="0" applyAlignment="0" applyProtection="0">
      <alignment vertical="center"/>
    </xf>
    <xf numFmtId="0" fontId="124" fillId="0" borderId="61" applyNumberFormat="0" applyFill="0" applyAlignment="0" applyProtection="0">
      <alignment vertical="center"/>
    </xf>
    <xf numFmtId="0" fontId="124" fillId="0" borderId="61" applyNumberFormat="0" applyFill="0" applyAlignment="0" applyProtection="0">
      <alignment vertical="center"/>
    </xf>
    <xf numFmtId="0" fontId="124" fillId="0" borderId="61" applyNumberFormat="0" applyFill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124" fillId="0" borderId="61" applyNumberFormat="0" applyFill="0" applyAlignment="0" applyProtection="0">
      <alignment vertical="center"/>
    </xf>
    <xf numFmtId="0" fontId="124" fillId="0" borderId="61" applyNumberFormat="0" applyFill="0" applyAlignment="0" applyProtection="0">
      <alignment vertical="center"/>
    </xf>
    <xf numFmtId="0" fontId="6" fillId="0" borderId="0">
      <alignment vertical="center"/>
    </xf>
    <xf numFmtId="0" fontId="124" fillId="0" borderId="61" applyNumberFormat="0" applyFill="0" applyAlignment="0" applyProtection="0">
      <alignment vertical="center"/>
    </xf>
    <xf numFmtId="0" fontId="124" fillId="0" borderId="61" applyNumberFormat="0" applyFill="0" applyAlignment="0" applyProtection="0">
      <alignment vertical="center"/>
    </xf>
    <xf numFmtId="0" fontId="114" fillId="0" borderId="57" applyNumberFormat="0" applyFill="0" applyAlignment="0" applyProtection="0">
      <alignment vertical="center"/>
    </xf>
    <xf numFmtId="0" fontId="114" fillId="0" borderId="57" applyNumberFormat="0" applyFill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114" fillId="0" borderId="57" applyNumberFormat="0" applyFill="0" applyAlignment="0" applyProtection="0">
      <alignment vertical="center"/>
    </xf>
    <xf numFmtId="0" fontId="114" fillId="0" borderId="57" applyNumberFormat="0" applyFill="0" applyAlignment="0" applyProtection="0">
      <alignment vertical="center"/>
    </xf>
    <xf numFmtId="0" fontId="114" fillId="0" borderId="57" applyNumberFormat="0" applyFill="0" applyAlignment="0" applyProtection="0">
      <alignment vertical="center"/>
    </xf>
    <xf numFmtId="0" fontId="125" fillId="0" borderId="0"/>
    <xf numFmtId="0" fontId="114" fillId="0" borderId="57" applyNumberFormat="0" applyFill="0" applyAlignment="0" applyProtection="0">
      <alignment vertical="center"/>
    </xf>
    <xf numFmtId="0" fontId="114" fillId="0" borderId="5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0" fillId="2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0" fillId="26" borderId="0" applyNumberFormat="0" applyBorder="0" applyAlignment="0" applyProtection="0">
      <alignment vertical="center"/>
    </xf>
    <xf numFmtId="0" fontId="120" fillId="26" borderId="0" applyNumberFormat="0" applyBorder="0" applyAlignment="0" applyProtection="0">
      <alignment vertical="center"/>
    </xf>
    <xf numFmtId="0" fontId="120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9" fillId="0" borderId="0">
      <alignment vertical="center"/>
    </xf>
    <xf numFmtId="0" fontId="89" fillId="0" borderId="0"/>
    <xf numFmtId="0" fontId="89" fillId="0" borderId="0">
      <alignment vertical="center"/>
    </xf>
    <xf numFmtId="0" fontId="89" fillId="0" borderId="0">
      <alignment vertical="center"/>
    </xf>
    <xf numFmtId="0" fontId="6" fillId="0" borderId="0">
      <alignment vertical="center"/>
    </xf>
    <xf numFmtId="0" fontId="9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22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88" fillId="12" borderId="45" applyNumberFormat="0" applyAlignment="0" applyProtection="0">
      <alignment vertical="center"/>
    </xf>
    <xf numFmtId="0" fontId="89" fillId="0" borderId="0">
      <alignment vertical="center"/>
    </xf>
    <xf numFmtId="0" fontId="88" fillId="12" borderId="45" applyNumberFormat="0" applyAlignment="0" applyProtection="0">
      <alignment vertical="center"/>
    </xf>
    <xf numFmtId="0" fontId="125" fillId="0" borderId="0"/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88" fillId="12" borderId="45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90" fillId="20" borderId="0" applyNumberFormat="0" applyBorder="0" applyAlignment="0" applyProtection="0">
      <alignment vertical="center"/>
    </xf>
    <xf numFmtId="0" fontId="6" fillId="0" borderId="0"/>
    <xf numFmtId="0" fontId="90" fillId="20" borderId="0" applyNumberFormat="0" applyBorder="0" applyAlignment="0" applyProtection="0">
      <alignment vertical="center"/>
    </xf>
    <xf numFmtId="0" fontId="89" fillId="0" borderId="0"/>
    <xf numFmtId="0" fontId="90" fillId="20" borderId="0" applyNumberFormat="0" applyBorder="0" applyAlignment="0" applyProtection="0">
      <alignment vertical="center"/>
    </xf>
    <xf numFmtId="0" fontId="89" fillId="0" borderId="0"/>
    <xf numFmtId="0" fontId="90" fillId="20" borderId="0" applyNumberFormat="0" applyBorder="0" applyAlignment="0" applyProtection="0">
      <alignment vertical="center"/>
    </xf>
    <xf numFmtId="0" fontId="89" fillId="0" borderId="0"/>
    <xf numFmtId="0" fontId="6" fillId="0" borderId="0">
      <alignment vertical="center"/>
    </xf>
    <xf numFmtId="0" fontId="6" fillId="0" borderId="0">
      <alignment vertical="center"/>
    </xf>
    <xf numFmtId="0" fontId="103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29" borderId="0" applyNumberFormat="0" applyBorder="0" applyAlignment="0" applyProtection="0">
      <alignment vertical="center"/>
    </xf>
    <xf numFmtId="0" fontId="89" fillId="0" borderId="0"/>
    <xf numFmtId="0" fontId="89" fillId="0" borderId="0"/>
    <xf numFmtId="0" fontId="6" fillId="0" borderId="0">
      <alignment vertical="center"/>
    </xf>
    <xf numFmtId="0" fontId="88" fillId="12" borderId="45" applyNumberFormat="0" applyAlignment="0" applyProtection="0">
      <alignment vertical="center"/>
    </xf>
    <xf numFmtId="0" fontId="89" fillId="0" borderId="0"/>
    <xf numFmtId="0" fontId="73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5" fillId="0" borderId="0"/>
    <xf numFmtId="0" fontId="42" fillId="0" borderId="0" applyNumberFormat="0" applyFill="0" applyBorder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111" fillId="6" borderId="56" applyNumberForma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73" fillId="0" borderId="0"/>
    <xf numFmtId="0" fontId="111" fillId="6" borderId="56" applyNumberFormat="0" applyAlignment="0" applyProtection="0">
      <alignment vertical="center"/>
    </xf>
    <xf numFmtId="0" fontId="111" fillId="6" borderId="56" applyNumberFormat="0" applyAlignment="0" applyProtection="0">
      <alignment vertical="center"/>
    </xf>
    <xf numFmtId="0" fontId="111" fillId="6" borderId="56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97" fillId="0" borderId="51" applyNumberFormat="0" applyFill="0" applyAlignment="0" applyProtection="0">
      <alignment vertical="center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88" fillId="12" borderId="45" applyNumberFormat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88" fillId="12" borderId="45" applyNumberFormat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03" fillId="31" borderId="0" applyNumberFormat="0" applyBorder="0" applyAlignment="0" applyProtection="0">
      <alignment vertical="center"/>
    </xf>
    <xf numFmtId="0" fontId="103" fillId="31" borderId="0" applyNumberFormat="0" applyBorder="0" applyAlignment="0" applyProtection="0">
      <alignment vertical="center"/>
    </xf>
    <xf numFmtId="0" fontId="103" fillId="31" borderId="0" applyNumberFormat="0" applyBorder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96" fillId="22" borderId="50" applyNumberFormat="0" applyAlignment="0" applyProtection="0">
      <alignment vertical="center"/>
    </xf>
    <xf numFmtId="0" fontId="88" fillId="12" borderId="45" applyNumberFormat="0" applyAlignment="0" applyProtection="0">
      <alignment vertical="center"/>
    </xf>
    <xf numFmtId="0" fontId="100" fillId="0" borderId="0"/>
    <xf numFmtId="0" fontId="88" fillId="12" borderId="45" applyNumberFormat="0" applyAlignment="0" applyProtection="0">
      <alignment vertical="center"/>
    </xf>
    <xf numFmtId="0" fontId="100" fillId="0" borderId="0"/>
    <xf numFmtId="0" fontId="88" fillId="12" borderId="45" applyNumberFormat="0" applyAlignment="0" applyProtection="0">
      <alignment vertical="center"/>
    </xf>
    <xf numFmtId="0" fontId="88" fillId="12" borderId="45" applyNumberFormat="0" applyAlignment="0" applyProtection="0">
      <alignment vertical="center"/>
    </xf>
    <xf numFmtId="0" fontId="88" fillId="12" borderId="45" applyNumberFormat="0" applyAlignment="0" applyProtection="0">
      <alignment vertical="center"/>
    </xf>
    <xf numFmtId="0" fontId="101" fillId="0" borderId="0"/>
    <xf numFmtId="0" fontId="73" fillId="0" borderId="0"/>
    <xf numFmtId="0" fontId="100" fillId="0" borderId="0"/>
    <xf numFmtId="0" fontId="100" fillId="0" borderId="0"/>
    <xf numFmtId="0" fontId="6" fillId="40" borderId="59" applyNumberFormat="0" applyFont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6" fillId="40" borderId="59" applyNumberFormat="0" applyFont="0" applyAlignment="0" applyProtection="0">
      <alignment vertical="center"/>
    </xf>
    <xf numFmtId="0" fontId="89" fillId="0" borderId="0"/>
    <xf numFmtId="0" fontId="126" fillId="0" borderId="0" applyNumberFormat="0" applyFill="0" applyBorder="0" applyAlignment="0" applyProtection="0">
      <alignment vertical="center"/>
    </xf>
    <xf numFmtId="38" fontId="89" fillId="0" borderId="0" applyFont="0" applyFill="0" applyBorder="0" applyAlignment="0" applyProtection="0">
      <alignment vertical="center"/>
    </xf>
    <xf numFmtId="0" fontId="55" fillId="0" borderId="0">
      <alignment vertical="center"/>
    </xf>
  </cellStyleXfs>
  <cellXfs count="36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9" applyBorder="1">
      <alignment vertical="center"/>
    </xf>
    <xf numFmtId="0" fontId="7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Fill="1">
      <alignment vertical="center"/>
    </xf>
    <xf numFmtId="0" fontId="6" fillId="0" borderId="0" xfId="309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9">
      <alignment vertical="center"/>
    </xf>
    <xf numFmtId="0" fontId="6" fillId="0" borderId="0" xfId="309" applyNumberFormat="1">
      <alignment vertical="center"/>
    </xf>
    <xf numFmtId="0" fontId="6" fillId="0" borderId="0" xfId="309" applyNumberFormat="1" applyAlignment="1">
      <alignment horizontal="center" vertical="center"/>
    </xf>
    <xf numFmtId="14" fontId="6" fillId="0" borderId="0" xfId="309" applyNumberFormat="1">
      <alignment vertical="center"/>
    </xf>
    <xf numFmtId="179" fontId="6" fillId="0" borderId="0" xfId="309" applyNumberFormat="1">
      <alignment vertical="center"/>
    </xf>
    <xf numFmtId="180" fontId="8" fillId="0" borderId="0" xfId="110" applyNumberFormat="1" applyFont="1" applyFill="1" applyBorder="1" applyAlignment="1" applyProtection="1">
      <alignment vertical="center"/>
    </xf>
    <xf numFmtId="180" fontId="9" fillId="0" borderId="0" xfId="110" applyNumberFormat="1" applyFont="1" applyFill="1" applyBorder="1" applyAlignment="1" applyProtection="1">
      <alignment vertical="center"/>
    </xf>
    <xf numFmtId="180" fontId="10" fillId="0" borderId="0" xfId="110" applyNumberFormat="1" applyFont="1" applyFill="1" applyBorder="1" applyAlignment="1" applyProtection="1">
      <alignment vertical="center"/>
    </xf>
    <xf numFmtId="180" fontId="10" fillId="0" borderId="0" xfId="110" applyNumberFormat="1" applyFont="1" applyFill="1" applyBorder="1" applyAlignment="1" applyProtection="1">
      <alignment horizontal="center" vertical="top"/>
    </xf>
    <xf numFmtId="0" fontId="6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NumberFormat="1" applyBorder="1" applyAlignment="1">
      <alignment horizontal="center" vertical="center"/>
    </xf>
    <xf numFmtId="180" fontId="11" fillId="3" borderId="5" xfId="110" applyNumberFormat="1" applyFont="1" applyFill="1" applyBorder="1" applyAlignment="1" applyProtection="1">
      <alignment horizontal="center" vertical="center"/>
    </xf>
    <xf numFmtId="180" fontId="8" fillId="3" borderId="5" xfId="110" applyNumberFormat="1" applyFont="1" applyFill="1" applyBorder="1" applyAlignment="1" applyProtection="1">
      <alignment horizontal="center" vertical="center"/>
    </xf>
    <xf numFmtId="0" fontId="8" fillId="3" borderId="5" xfId="110" applyNumberFormat="1" applyFont="1" applyFill="1" applyBorder="1" applyAlignment="1" applyProtection="1">
      <alignment horizontal="center" vertical="center" wrapText="1"/>
    </xf>
    <xf numFmtId="0" fontId="12" fillId="3" borderId="5" xfId="399" applyNumberFormat="1" applyFont="1" applyFill="1" applyBorder="1" applyAlignment="1" applyProtection="1">
      <alignment horizontal="center" vertical="center" wrapText="1"/>
    </xf>
    <xf numFmtId="0" fontId="13" fillId="3" borderId="5" xfId="399" applyNumberFormat="1" applyFont="1" applyFill="1" applyBorder="1" applyAlignment="1" applyProtection="1">
      <alignment horizontal="center" vertical="center" wrapText="1"/>
    </xf>
    <xf numFmtId="180" fontId="11" fillId="3" borderId="6" xfId="110" applyNumberFormat="1" applyFont="1" applyFill="1" applyBorder="1" applyAlignment="1" applyProtection="1">
      <alignment horizontal="center" vertical="center"/>
    </xf>
    <xf numFmtId="180" fontId="8" fillId="3" borderId="6" xfId="110" applyNumberFormat="1" applyFont="1" applyFill="1" applyBorder="1" applyAlignment="1" applyProtection="1">
      <alignment horizontal="center" vertical="center"/>
    </xf>
    <xf numFmtId="0" fontId="8" fillId="3" borderId="6" xfId="110" applyNumberFormat="1" applyFont="1" applyFill="1" applyBorder="1" applyAlignment="1" applyProtection="1">
      <alignment horizontal="center" vertical="center" wrapText="1"/>
    </xf>
    <xf numFmtId="0" fontId="12" fillId="3" borderId="6" xfId="399" applyNumberFormat="1" applyFont="1" applyFill="1" applyBorder="1" applyAlignment="1" applyProtection="1">
      <alignment horizontal="center" vertical="center" wrapText="1"/>
    </xf>
    <xf numFmtId="0" fontId="13" fillId="3" borderId="6" xfId="399" applyNumberFormat="1" applyFont="1" applyFill="1" applyBorder="1" applyAlignment="1" applyProtection="1">
      <alignment horizontal="center" vertical="center" wrapText="1"/>
    </xf>
    <xf numFmtId="180" fontId="14" fillId="0" borderId="6" xfId="309" applyNumberFormat="1" applyFont="1" applyFill="1" applyBorder="1" applyAlignment="1" applyProtection="1">
      <alignment horizontal="center" vertical="center"/>
    </xf>
    <xf numFmtId="0" fontId="15" fillId="0" borderId="7" xfId="309" applyFont="1" applyFill="1" applyBorder="1" applyAlignment="1">
      <alignment horizontal="center" vertical="center" wrapText="1"/>
    </xf>
    <xf numFmtId="49" fontId="16" fillId="4" borderId="8" xfId="309" applyNumberFormat="1" applyFont="1" applyFill="1" applyBorder="1" applyAlignment="1">
      <alignment horizontal="center" vertical="center" wrapText="1"/>
    </xf>
    <xf numFmtId="0" fontId="6" fillId="0" borderId="7" xfId="309" applyNumberFormat="1" applyFill="1" applyBorder="1" applyAlignment="1">
      <alignment horizontal="center" vertical="center"/>
    </xf>
    <xf numFmtId="0" fontId="6" fillId="0" borderId="8" xfId="309" applyFill="1" applyBorder="1">
      <alignment vertical="center"/>
    </xf>
    <xf numFmtId="180" fontId="14" fillId="4" borderId="6" xfId="309" applyNumberFormat="1" applyFont="1" applyFill="1" applyBorder="1" applyAlignment="1" applyProtection="1">
      <alignment horizontal="center" vertical="center" shrinkToFit="1"/>
    </xf>
    <xf numFmtId="180" fontId="17" fillId="4" borderId="7" xfId="309" applyNumberFormat="1" applyFont="1" applyFill="1" applyBorder="1" applyAlignment="1" applyProtection="1">
      <alignment horizontal="center" vertical="center" shrinkToFit="1"/>
    </xf>
    <xf numFmtId="180" fontId="17" fillId="4" borderId="7" xfId="309" applyNumberFormat="1" applyFont="1" applyFill="1" applyBorder="1" applyAlignment="1" applyProtection="1">
      <alignment horizontal="center" vertical="top" shrinkToFit="1"/>
    </xf>
    <xf numFmtId="0" fontId="16" fillId="4" borderId="7" xfId="309" applyNumberFormat="1" applyFont="1" applyFill="1" applyBorder="1" applyAlignment="1">
      <alignment horizontal="center" vertical="center" shrinkToFit="1"/>
    </xf>
    <xf numFmtId="0" fontId="6" fillId="4" borderId="7" xfId="309" applyNumberFormat="1" applyFont="1" applyFill="1" applyBorder="1" applyAlignment="1" applyProtection="1">
      <alignment horizontal="center" vertical="center" shrinkToFit="1"/>
    </xf>
    <xf numFmtId="0" fontId="6" fillId="4" borderId="7" xfId="309" applyNumberFormat="1" applyFill="1" applyBorder="1" applyAlignment="1">
      <alignment horizontal="center" vertical="center" shrinkToFit="1"/>
    </xf>
    <xf numFmtId="0" fontId="6" fillId="3" borderId="7" xfId="309" applyFont="1" applyFill="1" applyBorder="1" applyAlignment="1">
      <alignment horizontal="center" vertical="center"/>
    </xf>
    <xf numFmtId="179" fontId="6" fillId="4" borderId="7" xfId="309" applyNumberFormat="1" applyFont="1" applyFill="1" applyBorder="1" applyAlignment="1">
      <alignment horizontal="center" vertical="center"/>
    </xf>
    <xf numFmtId="176" fontId="6" fillId="0" borderId="0" xfId="309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9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9" applyNumberFormat="1" applyBorder="1">
      <alignment vertical="center"/>
    </xf>
    <xf numFmtId="180" fontId="10" fillId="0" borderId="0" xfId="110" applyNumberFormat="1" applyFont="1" applyFill="1" applyBorder="1" applyAlignment="1" applyProtection="1">
      <alignment horizontal="center" vertical="center"/>
    </xf>
    <xf numFmtId="178" fontId="24" fillId="5" borderId="0" xfId="309" applyNumberFormat="1" applyFont="1" applyFill="1" applyBorder="1" applyAlignment="1">
      <alignment horizontal="center" vertical="center"/>
    </xf>
    <xf numFmtId="14" fontId="12" fillId="3" borderId="5" xfId="399" applyNumberFormat="1" applyFont="1" applyFill="1" applyBorder="1" applyAlignment="1" applyProtection="1">
      <alignment horizontal="center" vertical="center" wrapText="1"/>
    </xf>
    <xf numFmtId="0" fontId="12" fillId="3" borderId="8" xfId="399" applyNumberFormat="1" applyFont="1" applyFill="1" applyBorder="1" applyAlignment="1" applyProtection="1">
      <alignment horizontal="center" vertical="center" wrapText="1"/>
    </xf>
    <xf numFmtId="0" fontId="12" fillId="3" borderId="9" xfId="399" applyNumberFormat="1" applyFont="1" applyFill="1" applyBorder="1" applyAlignment="1" applyProtection="1">
      <alignment horizontal="center" vertical="center" wrapText="1"/>
    </xf>
    <xf numFmtId="0" fontId="12" fillId="3" borderId="10" xfId="399" applyNumberFormat="1" applyFont="1" applyFill="1" applyBorder="1" applyAlignment="1" applyProtection="1">
      <alignment horizontal="center" vertical="center" wrapText="1"/>
    </xf>
    <xf numFmtId="14" fontId="12" fillId="3" borderId="6" xfId="399" applyNumberFormat="1" applyFont="1" applyFill="1" applyBorder="1" applyAlignment="1" applyProtection="1">
      <alignment horizontal="center" vertical="center" wrapText="1"/>
    </xf>
    <xf numFmtId="0" fontId="12" fillId="3" borderId="7" xfId="399" applyNumberFormat="1" applyFont="1" applyFill="1" applyBorder="1" applyAlignment="1" applyProtection="1">
      <alignment horizontal="center" vertical="center" wrapText="1"/>
    </xf>
    <xf numFmtId="14" fontId="6" fillId="0" borderId="8" xfId="309" applyNumberFormat="1" applyFill="1" applyBorder="1">
      <alignment vertical="center"/>
    </xf>
    <xf numFmtId="178" fontId="14" fillId="0" borderId="7" xfId="309" applyNumberFormat="1" applyFont="1" applyFill="1" applyBorder="1">
      <alignment vertical="center"/>
    </xf>
    <xf numFmtId="178" fontId="14" fillId="0" borderId="7" xfId="309" applyNumberFormat="1" applyFont="1" applyFill="1" applyBorder="1" applyAlignment="1">
      <alignment horizontal="center" vertical="center"/>
    </xf>
    <xf numFmtId="0" fontId="6" fillId="4" borderId="8" xfId="309" applyNumberFormat="1" applyFont="1" applyFill="1" applyBorder="1" applyAlignment="1" applyProtection="1">
      <alignment horizontal="center" vertical="center" shrinkToFit="1"/>
    </xf>
    <xf numFmtId="14" fontId="6" fillId="4" borderId="8" xfId="309" applyNumberFormat="1" applyFont="1" applyFill="1" applyBorder="1" applyAlignment="1" applyProtection="1">
      <alignment horizontal="center" vertical="center" shrinkToFit="1"/>
    </xf>
    <xf numFmtId="176" fontId="17" fillId="4" borderId="7" xfId="309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77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77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8" fontId="0" fillId="0" borderId="0" xfId="309" applyNumberFormat="1" applyFont="1" applyFill="1" applyBorder="1" applyAlignment="1">
      <alignment horizontal="left" vertical="center"/>
    </xf>
    <xf numFmtId="179" fontId="13" fillId="3" borderId="5" xfId="399" applyNumberFormat="1" applyFont="1" applyFill="1" applyBorder="1" applyAlignment="1" applyProtection="1">
      <alignment horizontal="center" vertical="center" wrapText="1"/>
    </xf>
    <xf numFmtId="0" fontId="13" fillId="3" borderId="8" xfId="399" applyNumberFormat="1" applyFont="1" applyFill="1" applyBorder="1" applyAlignment="1" applyProtection="1">
      <alignment horizontal="center" vertical="center" wrapText="1"/>
    </xf>
    <xf numFmtId="0" fontId="13" fillId="3" borderId="9" xfId="399" applyNumberFormat="1" applyFont="1" applyFill="1" applyBorder="1" applyAlignment="1" applyProtection="1">
      <alignment horizontal="center" vertical="center" wrapText="1"/>
    </xf>
    <xf numFmtId="179" fontId="13" fillId="3" borderId="6" xfId="399" applyNumberFormat="1" applyFont="1" applyFill="1" applyBorder="1" applyAlignment="1" applyProtection="1">
      <alignment horizontal="center" vertical="center" wrapText="1"/>
    </xf>
    <xf numFmtId="0" fontId="13" fillId="3" borderId="7" xfId="399" applyNumberFormat="1" applyFont="1" applyFill="1" applyBorder="1" applyAlignment="1" applyProtection="1">
      <alignment horizontal="center" vertical="center" wrapText="1"/>
    </xf>
    <xf numFmtId="178" fontId="14" fillId="4" borderId="7" xfId="309" applyNumberFormat="1" applyFont="1" applyFill="1" applyBorder="1">
      <alignment vertical="center"/>
    </xf>
    <xf numFmtId="178" fontId="14" fillId="4" borderId="10" xfId="309" applyNumberFormat="1" applyFont="1" applyFill="1" applyBorder="1" applyAlignment="1">
      <alignment horizontal="center" vertical="center"/>
    </xf>
    <xf numFmtId="178" fontId="14" fillId="4" borderId="10" xfId="309" applyNumberFormat="1" applyFont="1" applyFill="1" applyBorder="1">
      <alignment vertical="center"/>
    </xf>
    <xf numFmtId="0" fontId="13" fillId="3" borderId="10" xfId="399" applyNumberFormat="1" applyFont="1" applyFill="1" applyBorder="1" applyAlignment="1" applyProtection="1">
      <alignment horizontal="center" vertical="center" wrapText="1"/>
    </xf>
    <xf numFmtId="176" fontId="14" fillId="4" borderId="10" xfId="309" applyNumberFormat="1" applyFont="1" applyFill="1" applyBorder="1" applyAlignment="1" applyProtection="1">
      <alignment horizontal="center" vertical="center"/>
    </xf>
    <xf numFmtId="179" fontId="20" fillId="4" borderId="7" xfId="290" applyNumberFormat="1" applyFont="1" applyFill="1" applyBorder="1" applyAlignment="1" applyProtection="1">
      <alignment horizontal="center" vertical="center"/>
    </xf>
    <xf numFmtId="179" fontId="25" fillId="4" borderId="7" xfId="399" applyNumberFormat="1" applyFont="1" applyFill="1" applyBorder="1" applyAlignment="1" applyProtection="1">
      <alignment horizontal="center" vertical="center"/>
    </xf>
    <xf numFmtId="176" fontId="14" fillId="0" borderId="0" xfId="309" applyNumberFormat="1" applyFont="1" applyFill="1" applyBorder="1" applyAlignment="1" applyProtection="1">
      <alignment horizontal="center" vertical="center"/>
    </xf>
    <xf numFmtId="179" fontId="10" fillId="0" borderId="0" xfId="110" applyNumberFormat="1" applyFont="1" applyFill="1" applyBorder="1" applyAlignment="1" applyProtection="1">
      <alignment horizontal="center" vertical="center" wrapText="1"/>
    </xf>
    <xf numFmtId="0" fontId="11" fillId="3" borderId="5" xfId="110" applyNumberFormat="1" applyFont="1" applyFill="1" applyBorder="1" applyAlignment="1" applyProtection="1">
      <alignment horizontal="center" vertical="center" wrapText="1"/>
    </xf>
    <xf numFmtId="179" fontId="8" fillId="3" borderId="5" xfId="110" applyNumberFormat="1" applyFont="1" applyFill="1" applyBorder="1" applyAlignment="1" applyProtection="1">
      <alignment horizontal="center" vertical="center" wrapText="1"/>
    </xf>
    <xf numFmtId="0" fontId="11" fillId="3" borderId="6" xfId="110" applyNumberFormat="1" applyFont="1" applyFill="1" applyBorder="1" applyAlignment="1" applyProtection="1">
      <alignment horizontal="center" vertical="center" wrapText="1"/>
    </xf>
    <xf numFmtId="179" fontId="8" fillId="3" borderId="6" xfId="110" applyNumberFormat="1" applyFont="1" applyFill="1" applyBorder="1" applyAlignment="1" applyProtection="1">
      <alignment horizontal="center" vertical="center" wrapText="1"/>
    </xf>
    <xf numFmtId="176" fontId="14" fillId="4" borderId="7" xfId="309" applyNumberFormat="1" applyFont="1" applyFill="1" applyBorder="1" applyAlignment="1" applyProtection="1">
      <alignment horizontal="center" vertical="center"/>
    </xf>
    <xf numFmtId="179" fontId="16" fillId="0" borderId="7" xfId="309" applyNumberFormat="1" applyFont="1" applyFill="1" applyBorder="1" applyAlignment="1">
      <alignment horizontal="center" vertical="center" wrapText="1"/>
    </xf>
    <xf numFmtId="176" fontId="14" fillId="0" borderId="7" xfId="309" applyNumberFormat="1" applyFont="1" applyFill="1" applyBorder="1" applyAlignment="1" applyProtection="1">
      <alignment horizontal="center" vertical="center"/>
    </xf>
    <xf numFmtId="179" fontId="17" fillId="4" borderId="7" xfId="309" applyNumberFormat="1" applyFont="1" applyFill="1" applyBorder="1" applyAlignment="1" applyProtection="1">
      <alignment horizontal="center" vertical="center" shrinkToFit="1"/>
    </xf>
    <xf numFmtId="176" fontId="14" fillId="4" borderId="7" xfId="309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vertical="center"/>
    </xf>
    <xf numFmtId="49" fontId="6" fillId="0" borderId="0" xfId="309" applyNumberFormat="1" applyFont="1" applyFill="1" applyBorder="1" applyAlignment="1" applyProtection="1">
      <alignment horizontal="center" vertical="center"/>
    </xf>
    <xf numFmtId="49" fontId="12" fillId="3" borderId="5" xfId="399" applyNumberFormat="1" applyFont="1" applyFill="1" applyBorder="1" applyAlignment="1" applyProtection="1">
      <alignment horizontal="center" vertical="center" wrapText="1"/>
    </xf>
    <xf numFmtId="49" fontId="12" fillId="3" borderId="6" xfId="399" applyNumberFormat="1" applyFont="1" applyFill="1" applyBorder="1" applyAlignment="1" applyProtection="1">
      <alignment horizontal="center" vertical="center" wrapText="1"/>
    </xf>
    <xf numFmtId="0" fontId="25" fillId="4" borderId="7" xfId="309" applyFont="1" applyFill="1" applyBorder="1" applyAlignment="1">
      <alignment horizontal="center" vertical="center"/>
    </xf>
    <xf numFmtId="0" fontId="25" fillId="4" borderId="7" xfId="309" applyFont="1" applyFill="1" applyBorder="1" applyAlignment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Fill="1" applyBorder="1" applyAlignment="1" applyProtection="1">
      <alignment horizontal="left" vertical="center"/>
      <protection locked="0"/>
    </xf>
    <xf numFmtId="177" fontId="14" fillId="0" borderId="0" xfId="0" applyNumberFormat="1" applyFont="1" applyFill="1" applyBorder="1" applyAlignment="1" applyProtection="1">
      <alignment horizontal="left" vertical="center"/>
      <protection locked="0"/>
    </xf>
    <xf numFmtId="181" fontId="14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49" fontId="29" fillId="6" borderId="7" xfId="412" applyNumberFormat="1" applyFont="1" applyFill="1" applyBorder="1" applyAlignment="1" applyProtection="1">
      <alignment horizontal="center" vertical="center" wrapText="1"/>
    </xf>
    <xf numFmtId="49" fontId="24" fillId="6" borderId="7" xfId="412" applyNumberFormat="1" applyFont="1" applyFill="1" applyBorder="1" applyAlignment="1" applyProtection="1">
      <alignment horizontal="center" vertical="center" wrapText="1"/>
    </xf>
    <xf numFmtId="177" fontId="29" fillId="6" borderId="7" xfId="412" applyNumberFormat="1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/>
      <protection locked="0"/>
    </xf>
    <xf numFmtId="14" fontId="27" fillId="0" borderId="7" xfId="0" applyNumberFormat="1" applyFont="1" applyFill="1" applyBorder="1" applyAlignment="1" applyProtection="1">
      <alignment horizontal="center" vertical="center"/>
      <protection locked="0"/>
    </xf>
    <xf numFmtId="49" fontId="27" fillId="7" borderId="7" xfId="0" applyNumberFormat="1" applyFont="1" applyFill="1" applyBorder="1" applyAlignment="1" applyProtection="1">
      <alignment horizontal="center" vertical="center"/>
    </xf>
    <xf numFmtId="49" fontId="27" fillId="0" borderId="7" xfId="0" applyNumberFormat="1" applyFont="1" applyFill="1" applyBorder="1" applyAlignment="1" applyProtection="1">
      <alignment horizontal="center" vertical="center"/>
    </xf>
    <xf numFmtId="49" fontId="16" fillId="7" borderId="7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</xf>
    <xf numFmtId="14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28" fillId="0" borderId="7" xfId="0" applyFont="1" applyFill="1" applyBorder="1" applyAlignment="1" applyProtection="1">
      <alignment horizontal="center" vertical="center"/>
      <protection locked="0"/>
    </xf>
    <xf numFmtId="14" fontId="28" fillId="0" borderId="7" xfId="0" applyNumberFormat="1" applyFont="1" applyFill="1" applyBorder="1" applyAlignment="1" applyProtection="1">
      <alignment horizontal="center" vertical="center"/>
      <protection locked="0"/>
    </xf>
    <xf numFmtId="177" fontId="28" fillId="0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7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14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center"/>
    </xf>
    <xf numFmtId="49" fontId="32" fillId="0" borderId="7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181" fontId="24" fillId="6" borderId="7" xfId="412" applyNumberFormat="1" applyFont="1" applyFill="1" applyBorder="1" applyAlignment="1" applyProtection="1">
      <alignment horizontal="center" vertical="center" wrapText="1"/>
    </xf>
    <xf numFmtId="49" fontId="36" fillId="6" borderId="7" xfId="412" applyNumberFormat="1" applyFont="1" applyFill="1" applyBorder="1" applyAlignment="1" applyProtection="1">
      <alignment horizontal="center" vertical="center" wrapText="1"/>
    </xf>
    <xf numFmtId="49" fontId="24" fillId="6" borderId="7" xfId="365" applyNumberFormat="1" applyFont="1" applyFill="1" applyBorder="1" applyAlignment="1" applyProtection="1">
      <alignment horizontal="center" vertical="center" wrapText="1"/>
    </xf>
    <xf numFmtId="178" fontId="27" fillId="0" borderId="7" xfId="0" applyNumberFormat="1" applyFont="1" applyFill="1" applyBorder="1" applyAlignment="1" applyProtection="1">
      <alignment horizontal="center" vertical="center"/>
      <protection locked="0"/>
    </xf>
    <xf numFmtId="178" fontId="16" fillId="0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27" fillId="0" borderId="7" xfId="0" applyNumberFormat="1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28" fillId="0" borderId="7" xfId="0" applyNumberFormat="1" applyFont="1" applyFill="1" applyBorder="1" applyAlignment="1" applyProtection="1">
      <alignment horizontal="center" vertical="center"/>
      <protection locked="0"/>
    </xf>
    <xf numFmtId="49" fontId="29" fillId="8" borderId="7" xfId="365" applyNumberFormat="1" applyFont="1" applyFill="1" applyBorder="1" applyAlignment="1" applyProtection="1">
      <alignment horizontal="center" vertical="center" wrapText="1"/>
    </xf>
    <xf numFmtId="0" fontId="37" fillId="3" borderId="7" xfId="365" applyFont="1" applyFill="1" applyBorder="1" applyAlignment="1" applyProtection="1">
      <alignment horizontal="center" vertical="center" wrapText="1"/>
    </xf>
    <xf numFmtId="0" fontId="37" fillId="3" borderId="7" xfId="0" applyFont="1" applyFill="1" applyBorder="1" applyAlignment="1" applyProtection="1">
      <alignment horizontal="center" vertical="center" wrapText="1"/>
    </xf>
    <xf numFmtId="0" fontId="37" fillId="3" borderId="7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/>
    </xf>
    <xf numFmtId="0" fontId="44" fillId="0" borderId="7" xfId="0" applyFont="1" applyFill="1" applyBorder="1" applyAlignment="1">
      <alignment horizontal="center"/>
    </xf>
    <xf numFmtId="49" fontId="44" fillId="0" borderId="7" xfId="0" applyNumberFormat="1" applyFont="1" applyFill="1" applyBorder="1" applyAlignment="1">
      <alignment horizontal="center" vertical="center"/>
    </xf>
    <xf numFmtId="49" fontId="44" fillId="0" borderId="7" xfId="0" applyNumberFormat="1" applyFont="1" applyFill="1" applyBorder="1" applyAlignment="1">
      <alignment horizontal="center"/>
    </xf>
    <xf numFmtId="0" fontId="45" fillId="0" borderId="7" xfId="0" applyFont="1" applyFill="1" applyBorder="1" applyAlignment="1">
      <alignment horizontal="center" vertical="center"/>
    </xf>
    <xf numFmtId="49" fontId="46" fillId="0" borderId="7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/>
    </xf>
    <xf numFmtId="49" fontId="32" fillId="0" borderId="1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32" fillId="0" borderId="6" xfId="0" applyNumberFormat="1" applyFont="1" applyFill="1" applyBorder="1" applyAlignment="1">
      <alignment horizontal="center"/>
    </xf>
    <xf numFmtId="49" fontId="32" fillId="0" borderId="12" xfId="0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49" fontId="34" fillId="0" borderId="6" xfId="0" applyNumberFormat="1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/>
    </xf>
    <xf numFmtId="49" fontId="47" fillId="0" borderId="11" xfId="0" applyNumberFormat="1" applyFont="1" applyFill="1" applyBorder="1" applyAlignment="1">
      <alignment horizontal="center" vertical="center"/>
    </xf>
    <xf numFmtId="49" fontId="47" fillId="0" borderId="6" xfId="0" applyNumberFormat="1" applyFont="1" applyFill="1" applyBorder="1" applyAlignment="1">
      <alignment horizontal="center"/>
    </xf>
    <xf numFmtId="49" fontId="48" fillId="0" borderId="12" xfId="0" applyNumberFormat="1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49" fontId="50" fillId="0" borderId="6" xfId="0" applyNumberFormat="1" applyFont="1" applyFill="1" applyBorder="1" applyAlignment="1">
      <alignment horizontal="center" vertical="center"/>
    </xf>
    <xf numFmtId="49" fontId="48" fillId="0" borderId="6" xfId="0" applyNumberFormat="1" applyFont="1" applyFill="1" applyBorder="1" applyAlignment="1">
      <alignment horizontal="center"/>
    </xf>
    <xf numFmtId="0" fontId="19" fillId="9" borderId="13" xfId="0" applyFont="1" applyFill="1" applyBorder="1" applyAlignment="1">
      <alignment horizontal="left" vertical="center"/>
    </xf>
    <xf numFmtId="4" fontId="19" fillId="9" borderId="14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12" xfId="0" applyNumberFormat="1" applyFont="1" applyFill="1" applyBorder="1" applyAlignment="1">
      <alignment horizontal="right" vertical="center"/>
    </xf>
    <xf numFmtId="0" fontId="19" fillId="9" borderId="15" xfId="0" applyFont="1" applyFill="1" applyBorder="1" applyAlignment="1">
      <alignment horizontal="left" vertical="center"/>
    </xf>
    <xf numFmtId="4" fontId="19" fillId="9" borderId="16" xfId="0" applyNumberFormat="1" applyFont="1" applyFill="1" applyBorder="1" applyAlignment="1">
      <alignment horizontal="right" vertical="center"/>
    </xf>
    <xf numFmtId="4" fontId="19" fillId="9" borderId="17" xfId="0" applyNumberFormat="1" applyFont="1" applyFill="1" applyBorder="1" applyAlignment="1">
      <alignment horizontal="right" vertical="center"/>
    </xf>
    <xf numFmtId="4" fontId="19" fillId="9" borderId="18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49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/>
    </xf>
    <xf numFmtId="0" fontId="47" fillId="0" borderId="12" xfId="0" applyFont="1" applyFill="1" applyBorder="1" applyAlignment="1">
      <alignment horizontal="center"/>
    </xf>
    <xf numFmtId="0" fontId="48" fillId="0" borderId="12" xfId="0" applyFont="1" applyFill="1" applyBorder="1" applyAlignment="1">
      <alignment horizontal="center"/>
    </xf>
    <xf numFmtId="4" fontId="19" fillId="9" borderId="19" xfId="0" applyNumberFormat="1" applyFont="1" applyFill="1" applyBorder="1" applyAlignment="1">
      <alignment horizontal="right" vertical="center"/>
    </xf>
    <xf numFmtId="0" fontId="47" fillId="3" borderId="12" xfId="0" applyFont="1" applyFill="1" applyBorder="1" applyAlignment="1">
      <alignment horizontal="center"/>
    </xf>
    <xf numFmtId="0" fontId="48" fillId="3" borderId="12" xfId="0" applyFont="1" applyFill="1" applyBorder="1" applyAlignment="1">
      <alignment horizontal="center"/>
    </xf>
    <xf numFmtId="0" fontId="38" fillId="0" borderId="7" xfId="0" applyFont="1" applyFill="1" applyBorder="1" applyAlignment="1">
      <alignment vertical="center"/>
    </xf>
    <xf numFmtId="0" fontId="39" fillId="0" borderId="7" xfId="0" applyFont="1" applyFill="1" applyBorder="1" applyAlignment="1">
      <alignment vertical="center"/>
    </xf>
    <xf numFmtId="0" fontId="38" fillId="0" borderId="12" xfId="0" applyFont="1" applyFill="1" applyBorder="1" applyAlignment="1">
      <alignment vertical="center"/>
    </xf>
    <xf numFmtId="0" fontId="40" fillId="0" borderId="12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2" fontId="51" fillId="0" borderId="7" xfId="0" applyNumberFormat="1" applyFont="1" applyFill="1" applyBorder="1" applyAlignment="1">
      <alignment horizontal="left" vertical="center"/>
    </xf>
    <xf numFmtId="0" fontId="32" fillId="0" borderId="7" xfId="0" applyNumberFormat="1" applyFont="1" applyFill="1" applyBorder="1" applyAlignment="1">
      <alignment horizontal="center"/>
    </xf>
    <xf numFmtId="182" fontId="52" fillId="0" borderId="7" xfId="0" applyNumberFormat="1" applyFont="1" applyFill="1" applyBorder="1" applyAlignment="1">
      <alignment horizontal="left" vertical="center"/>
    </xf>
    <xf numFmtId="0" fontId="44" fillId="0" borderId="7" xfId="0" applyNumberFormat="1" applyFont="1" applyFill="1" applyBorder="1" applyAlignment="1">
      <alignment horizontal="center"/>
    </xf>
    <xf numFmtId="182" fontId="51" fillId="0" borderId="12" xfId="0" applyNumberFormat="1" applyFont="1" applyFill="1" applyBorder="1" applyAlignment="1">
      <alignment horizontal="left" vertical="center"/>
    </xf>
    <xf numFmtId="0" fontId="32" fillId="0" borderId="12" xfId="0" applyNumberFormat="1" applyFont="1" applyFill="1" applyBorder="1" applyAlignment="1">
      <alignment horizontal="center"/>
    </xf>
    <xf numFmtId="49" fontId="47" fillId="0" borderId="12" xfId="0" applyNumberFormat="1" applyFont="1" applyFill="1" applyBorder="1" applyAlignment="1">
      <alignment horizontal="center" vertical="center"/>
    </xf>
    <xf numFmtId="182" fontId="53" fillId="0" borderId="12" xfId="0" applyNumberFormat="1" applyFont="1" applyFill="1" applyBorder="1" applyAlignment="1">
      <alignment horizontal="left" vertical="center"/>
    </xf>
    <xf numFmtId="0" fontId="47" fillId="0" borderId="12" xfId="0" applyNumberFormat="1" applyFont="1" applyFill="1" applyBorder="1" applyAlignment="1">
      <alignment horizontal="center"/>
    </xf>
    <xf numFmtId="0" fontId="19" fillId="9" borderId="19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54" fillId="9" borderId="10" xfId="0" applyFont="1" applyFill="1" applyBorder="1" applyAlignment="1">
      <alignment horizontal="center" vertical="center" wrapText="1"/>
    </xf>
    <xf numFmtId="4" fontId="55" fillId="0" borderId="7" xfId="0" applyNumberFormat="1" applyFont="1" applyFill="1" applyBorder="1" applyAlignment="1">
      <alignment horizontal="center" vertical="center" wrapText="1"/>
    </xf>
    <xf numFmtId="0" fontId="55" fillId="0" borderId="7" xfId="0" applyNumberFormat="1" applyFont="1" applyFill="1" applyBorder="1" applyAlignment="1">
      <alignment horizontal="center" vertical="center" wrapText="1"/>
    </xf>
    <xf numFmtId="49" fontId="56" fillId="0" borderId="10" xfId="0" applyNumberFormat="1" applyFont="1" applyFill="1" applyBorder="1" applyAlignment="1">
      <alignment horizontal="center"/>
    </xf>
    <xf numFmtId="4" fontId="57" fillId="0" borderId="7" xfId="0" applyNumberFormat="1" applyFont="1" applyFill="1" applyBorder="1" applyAlignment="1">
      <alignment horizontal="center" vertical="center" wrapText="1"/>
    </xf>
    <xf numFmtId="0" fontId="57" fillId="0" borderId="7" xfId="0" applyNumberFormat="1" applyFont="1" applyFill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center"/>
    </xf>
    <xf numFmtId="4" fontId="55" fillId="0" borderId="12" xfId="0" applyNumberFormat="1" applyFont="1" applyFill="1" applyBorder="1" applyAlignment="1">
      <alignment horizontal="center" vertical="center" wrapText="1"/>
    </xf>
    <xf numFmtId="4" fontId="55" fillId="0" borderId="11" xfId="0" applyNumberFormat="1" applyFont="1" applyFill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horizontal="center" vertical="center" wrapText="1"/>
    </xf>
    <xf numFmtId="49" fontId="59" fillId="0" borderId="10" xfId="0" applyNumberFormat="1" applyFont="1" applyFill="1" applyBorder="1" applyAlignment="1">
      <alignment horizontal="center"/>
    </xf>
    <xf numFmtId="4" fontId="54" fillId="9" borderId="7" xfId="0" applyNumberFormat="1" applyFont="1" applyFill="1" applyBorder="1" applyAlignment="1">
      <alignment horizontal="right" vertical="center"/>
    </xf>
    <xf numFmtId="4" fontId="19" fillId="9" borderId="12" xfId="0" applyNumberFormat="1" applyFont="1" applyFill="1" applyBorder="1" applyAlignment="1">
      <alignment horizontal="center" vertical="center"/>
    </xf>
    <xf numFmtId="4" fontId="54" fillId="9" borderId="4" xfId="0" applyNumberFormat="1" applyFont="1" applyFill="1" applyBorder="1" applyAlignment="1">
      <alignment horizontal="right" vertical="center"/>
    </xf>
    <xf numFmtId="0" fontId="43" fillId="0" borderId="0" xfId="0" applyFont="1" applyFill="1" applyAlignment="1"/>
    <xf numFmtId="178" fontId="6" fillId="0" borderId="0" xfId="0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32" fillId="0" borderId="20" xfId="0" applyFont="1" applyFill="1" applyBorder="1" applyAlignment="1">
      <alignment horizontal="center"/>
    </xf>
    <xf numFmtId="0" fontId="32" fillId="0" borderId="21" xfId="0" applyFont="1" applyFill="1" applyBorder="1" applyAlignment="1">
      <alignment horizontal="center"/>
    </xf>
    <xf numFmtId="49" fontId="32" fillId="0" borderId="21" xfId="0" applyNumberFormat="1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55" fillId="7" borderId="8" xfId="356" applyFont="1" applyFill="1" applyBorder="1" applyAlignment="1">
      <alignment horizontal="left" vertical="center"/>
    </xf>
    <xf numFmtId="49" fontId="55" fillId="0" borderId="7" xfId="273" applyNumberFormat="1" applyFont="1" applyBorder="1" applyAlignment="1" applyProtection="1">
      <protection locked="0"/>
    </xf>
    <xf numFmtId="0" fontId="6" fillId="0" borderId="7" xfId="309" applyNumberFormat="1" applyFont="1" applyFill="1" applyBorder="1" applyAlignment="1">
      <alignment horizontal="center" vertical="center"/>
    </xf>
    <xf numFmtId="0" fontId="6" fillId="0" borderId="8" xfId="309" applyFont="1" applyFill="1" applyBorder="1" applyAlignment="1">
      <alignment vertical="center"/>
    </xf>
    <xf numFmtId="0" fontId="55" fillId="7" borderId="7" xfId="273" applyFont="1" applyFill="1" applyBorder="1" applyAlignment="1">
      <alignment horizontal="left" vertical="center"/>
    </xf>
    <xf numFmtId="14" fontId="6" fillId="0" borderId="8" xfId="309" applyNumberFormat="1" applyFont="1" applyFill="1" applyBorder="1" applyAlignment="1">
      <alignment vertical="center"/>
    </xf>
    <xf numFmtId="178" fontId="14" fillId="0" borderId="7" xfId="309" applyNumberFormat="1" applyFont="1" applyFill="1" applyBorder="1" applyAlignment="1">
      <alignment vertical="center"/>
    </xf>
    <xf numFmtId="176" fontId="6" fillId="0" borderId="0" xfId="309" applyNumberFormat="1">
      <alignment vertical="center"/>
    </xf>
    <xf numFmtId="0" fontId="44" fillId="3" borderId="7" xfId="0" applyFont="1" applyFill="1" applyBorder="1" applyAlignment="1">
      <alignment horizontal="center"/>
    </xf>
    <xf numFmtId="0" fontId="6" fillId="10" borderId="0" xfId="0" applyFont="1" applyFill="1" applyAlignment="1">
      <alignment vertical="center"/>
    </xf>
    <xf numFmtId="0" fontId="62" fillId="10" borderId="0" xfId="489" applyFont="1" applyFill="1" applyBorder="1" applyAlignment="1">
      <alignment horizontal="center" vertical="center"/>
    </xf>
    <xf numFmtId="0" fontId="63" fillId="10" borderId="0" xfId="489" applyNumberFormat="1" applyFont="1" applyFill="1" applyBorder="1" applyAlignment="1" applyProtection="1">
      <alignment horizontal="center" vertical="center"/>
      <protection locked="0"/>
    </xf>
    <xf numFmtId="0" fontId="63" fillId="10" borderId="0" xfId="489" applyNumberFormat="1" applyFont="1" applyFill="1" applyBorder="1" applyAlignment="1" applyProtection="1">
      <alignment horizontal="left" vertical="center"/>
      <protection locked="0"/>
    </xf>
    <xf numFmtId="0" fontId="64" fillId="10" borderId="0" xfId="489" applyNumberFormat="1" applyFont="1" applyFill="1" applyBorder="1" applyAlignment="1" applyProtection="1">
      <alignment horizontal="center" vertical="center"/>
      <protection locked="0"/>
    </xf>
    <xf numFmtId="0" fontId="65" fillId="10" borderId="0" xfId="489" applyNumberFormat="1" applyFont="1" applyFill="1" applyBorder="1" applyAlignment="1" applyProtection="1">
      <alignment horizontal="left" vertical="center"/>
      <protection locked="0"/>
    </xf>
    <xf numFmtId="0" fontId="55" fillId="10" borderId="0" xfId="0" applyFont="1" applyFill="1" applyBorder="1" applyAlignment="1" applyProtection="1">
      <alignment horizontal="right" vertical="center"/>
      <protection locked="0"/>
    </xf>
    <xf numFmtId="49" fontId="66" fillId="10" borderId="0" xfId="488" applyNumberFormat="1" applyFont="1" applyFill="1" applyBorder="1" applyAlignment="1" applyProtection="1">
      <alignment horizontal="left" vertical="center"/>
      <protection locked="0"/>
    </xf>
    <xf numFmtId="0" fontId="60" fillId="10" borderId="0" xfId="0" applyFont="1" applyFill="1" applyBorder="1" applyAlignment="1" applyProtection="1">
      <alignment horizontal="left" vertical="center"/>
      <protection locked="0"/>
    </xf>
    <xf numFmtId="0" fontId="67" fillId="10" borderId="0" xfId="489" applyFont="1" applyFill="1" applyBorder="1" applyAlignment="1">
      <alignment horizontal="right" vertical="center"/>
    </xf>
    <xf numFmtId="14" fontId="68" fillId="10" borderId="0" xfId="0" applyNumberFormat="1" applyFont="1" applyFill="1" applyBorder="1" applyAlignment="1" applyProtection="1">
      <alignment horizontal="left" vertical="center"/>
      <protection locked="0"/>
    </xf>
    <xf numFmtId="0" fontId="68" fillId="10" borderId="0" xfId="0" applyFont="1" applyFill="1" applyBorder="1" applyAlignment="1" applyProtection="1">
      <alignment horizontal="right" vertical="center"/>
      <protection locked="0"/>
    </xf>
    <xf numFmtId="0" fontId="69" fillId="10" borderId="0" xfId="0" applyFont="1" applyFill="1" applyBorder="1" applyAlignment="1">
      <alignment horizontal="left" vertical="center"/>
    </xf>
    <xf numFmtId="0" fontId="69" fillId="10" borderId="0" xfId="0" applyFont="1" applyFill="1" applyAlignment="1">
      <alignment horizontal="left" vertical="center"/>
    </xf>
    <xf numFmtId="0" fontId="65" fillId="10" borderId="0" xfId="489" applyNumberFormat="1" applyFont="1" applyFill="1" applyBorder="1" applyAlignment="1" applyProtection="1">
      <alignment horizontal="center" vertical="center"/>
      <protection locked="0"/>
    </xf>
    <xf numFmtId="0" fontId="69" fillId="10" borderId="0" xfId="0" applyFont="1" applyFill="1" applyBorder="1" applyAlignment="1" applyProtection="1">
      <alignment horizontal="left" vertical="center"/>
      <protection locked="0"/>
    </xf>
    <xf numFmtId="0" fontId="70" fillId="10" borderId="0" xfId="489" applyNumberFormat="1" applyFont="1" applyFill="1" applyBorder="1" applyAlignment="1" applyProtection="1">
      <alignment horizontal="center" vertical="center"/>
      <protection locked="0"/>
    </xf>
    <xf numFmtId="183" fontId="68" fillId="10" borderId="0" xfId="488" applyNumberFormat="1" applyFont="1" applyFill="1" applyBorder="1" applyAlignment="1" applyProtection="1">
      <alignment horizontal="left" vertical="center"/>
      <protection locked="0"/>
    </xf>
    <xf numFmtId="0" fontId="71" fillId="10" borderId="22" xfId="0" applyFont="1" applyFill="1" applyBorder="1" applyAlignment="1" applyProtection="1">
      <alignment horizontal="center" vertical="center"/>
      <protection locked="0"/>
    </xf>
    <xf numFmtId="0" fontId="71" fillId="10" borderId="23" xfId="0" applyFont="1" applyFill="1" applyBorder="1" applyAlignment="1" applyProtection="1">
      <alignment horizontal="center" vertical="center"/>
      <protection locked="0"/>
    </xf>
    <xf numFmtId="0" fontId="13" fillId="10" borderId="24" xfId="487" applyNumberFormat="1" applyFont="1" applyFill="1" applyBorder="1" applyAlignment="1" applyProtection="1">
      <alignment horizontal="left" vertical="center"/>
      <protection locked="0"/>
    </xf>
    <xf numFmtId="0" fontId="13" fillId="10" borderId="6" xfId="487" applyNumberFormat="1" applyFont="1" applyFill="1" applyBorder="1" applyAlignment="1" applyProtection="1">
      <alignment horizontal="left" vertical="center"/>
      <protection locked="0"/>
    </xf>
    <xf numFmtId="43" fontId="72" fillId="10" borderId="8" xfId="0" applyNumberFormat="1" applyFont="1" applyFill="1" applyBorder="1" applyAlignment="1" applyProtection="1">
      <alignment horizontal="left" vertical="center" shrinkToFit="1"/>
    </xf>
    <xf numFmtId="43" fontId="72" fillId="10" borderId="9" xfId="0" applyNumberFormat="1" applyFont="1" applyFill="1" applyBorder="1" applyAlignment="1" applyProtection="1">
      <alignment horizontal="left" vertical="center" shrinkToFit="1"/>
    </xf>
    <xf numFmtId="43" fontId="72" fillId="10" borderId="25" xfId="0" applyNumberFormat="1" applyFont="1" applyFill="1" applyBorder="1" applyAlignment="1" applyProtection="1">
      <alignment horizontal="left" vertical="center" shrinkToFit="1"/>
    </xf>
    <xf numFmtId="0" fontId="13" fillId="10" borderId="26" xfId="487" applyNumberFormat="1" applyFont="1" applyFill="1" applyBorder="1" applyAlignment="1" applyProtection="1">
      <alignment horizontal="left" vertical="center"/>
      <protection locked="0"/>
    </xf>
    <xf numFmtId="0" fontId="13" fillId="10" borderId="27" xfId="487" applyNumberFormat="1" applyFont="1" applyFill="1" applyBorder="1" applyAlignment="1" applyProtection="1">
      <alignment horizontal="left" vertical="center"/>
      <protection locked="0"/>
    </xf>
    <xf numFmtId="184" fontId="72" fillId="10" borderId="28" xfId="0" applyNumberFormat="1" applyFont="1" applyFill="1" applyBorder="1" applyAlignment="1" applyProtection="1">
      <alignment horizontal="right" vertical="center" shrinkToFit="1"/>
    </xf>
    <xf numFmtId="184" fontId="72" fillId="10" borderId="29" xfId="0" applyNumberFormat="1" applyFont="1" applyFill="1" applyBorder="1" applyAlignment="1" applyProtection="1">
      <alignment horizontal="right" vertical="center" shrinkToFit="1"/>
    </xf>
    <xf numFmtId="184" fontId="72" fillId="10" borderId="30" xfId="0" applyNumberFormat="1" applyFont="1" applyFill="1" applyBorder="1" applyAlignment="1" applyProtection="1">
      <alignment horizontal="right" vertical="center" shrinkToFit="1"/>
    </xf>
    <xf numFmtId="0" fontId="25" fillId="10" borderId="24" xfId="488" applyNumberFormat="1" applyFont="1" applyFill="1" applyBorder="1" applyAlignment="1" applyProtection="1">
      <alignment horizontal="left" vertical="center"/>
      <protection locked="0"/>
    </xf>
    <xf numFmtId="0" fontId="25" fillId="10" borderId="6" xfId="488" applyNumberFormat="1" applyFont="1" applyFill="1" applyBorder="1" applyAlignment="1" applyProtection="1">
      <alignment horizontal="left" vertical="center"/>
      <protection locked="0"/>
    </xf>
    <xf numFmtId="43" fontId="73" fillId="10" borderId="6" xfId="0" applyNumberFormat="1" applyFont="1" applyFill="1" applyBorder="1" applyAlignment="1" applyProtection="1">
      <alignment horizontal="left" vertical="center" shrinkToFit="1"/>
    </xf>
    <xf numFmtId="0" fontId="25" fillId="10" borderId="31" xfId="488" applyNumberFormat="1" applyFont="1" applyFill="1" applyBorder="1" applyAlignment="1" applyProtection="1">
      <alignment horizontal="left" vertical="center"/>
      <protection locked="0"/>
    </xf>
    <xf numFmtId="0" fontId="25" fillId="10" borderId="32" xfId="488" applyNumberFormat="1" applyFont="1" applyFill="1" applyBorder="1" applyAlignment="1" applyProtection="1">
      <alignment horizontal="left" vertical="center"/>
      <protection locked="0"/>
    </xf>
    <xf numFmtId="0" fontId="25" fillId="10" borderId="33" xfId="488" applyNumberFormat="1" applyFont="1" applyFill="1" applyBorder="1" applyAlignment="1" applyProtection="1">
      <alignment horizontal="left" vertical="center"/>
      <protection locked="0"/>
    </xf>
    <xf numFmtId="43" fontId="73" fillId="10" borderId="34" xfId="0" applyNumberFormat="1" applyFont="1" applyFill="1" applyBorder="1" applyAlignment="1" applyProtection="1">
      <alignment horizontal="left" vertical="center" shrinkToFit="1"/>
      <protection locked="0"/>
    </xf>
    <xf numFmtId="0" fontId="14" fillId="10" borderId="35" xfId="163" applyFont="1" applyFill="1" applyBorder="1" applyAlignment="1">
      <alignment vertical="center"/>
    </xf>
    <xf numFmtId="0" fontId="14" fillId="10" borderId="7" xfId="163" applyFont="1" applyFill="1" applyBorder="1" applyAlignment="1">
      <alignment vertical="center"/>
    </xf>
    <xf numFmtId="43" fontId="73" fillId="10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10" borderId="8" xfId="163" applyFont="1" applyFill="1" applyBorder="1" applyAlignment="1">
      <alignment horizontal="left" vertical="center"/>
    </xf>
    <xf numFmtId="0" fontId="14" fillId="10" borderId="9" xfId="163" applyFont="1" applyFill="1" applyBorder="1" applyAlignment="1">
      <alignment horizontal="left" vertical="center"/>
    </xf>
    <xf numFmtId="0" fontId="14" fillId="10" borderId="10" xfId="163" applyFont="1" applyFill="1" applyBorder="1" applyAlignment="1">
      <alignment horizontal="left" vertical="center"/>
    </xf>
    <xf numFmtId="43" fontId="73" fillId="10" borderId="36" xfId="0" applyNumberFormat="1" applyFont="1" applyFill="1" applyBorder="1" applyAlignment="1" applyProtection="1">
      <alignment horizontal="left" vertical="center" shrinkToFit="1"/>
      <protection locked="0"/>
    </xf>
    <xf numFmtId="0" fontId="14" fillId="10" borderId="37" xfId="163" applyFont="1" applyFill="1" applyBorder="1" applyAlignment="1">
      <alignment vertical="center"/>
    </xf>
    <xf numFmtId="0" fontId="14" fillId="10" borderId="38" xfId="163" applyFont="1" applyFill="1" applyBorder="1" applyAlignment="1">
      <alignment vertical="center"/>
    </xf>
    <xf numFmtId="43" fontId="73" fillId="10" borderId="38" xfId="488" applyNumberFormat="1" applyFont="1" applyFill="1" applyBorder="1" applyAlignment="1" applyProtection="1">
      <alignment horizontal="left" vertical="center" shrinkToFit="1"/>
      <protection locked="0"/>
    </xf>
    <xf numFmtId="185" fontId="25" fillId="10" borderId="39" xfId="488" applyNumberFormat="1" applyFont="1" applyFill="1" applyBorder="1" applyAlignment="1" applyProtection="1">
      <alignment horizontal="left" vertical="center"/>
      <protection locked="0"/>
    </xf>
    <xf numFmtId="185" fontId="25" fillId="10" borderId="40" xfId="488" applyNumberFormat="1" applyFont="1" applyFill="1" applyBorder="1" applyAlignment="1" applyProtection="1">
      <alignment horizontal="left" vertical="center"/>
      <protection locked="0"/>
    </xf>
    <xf numFmtId="185" fontId="25" fillId="10" borderId="41" xfId="488" applyNumberFormat="1" applyFont="1" applyFill="1" applyBorder="1" applyAlignment="1" applyProtection="1">
      <alignment horizontal="left" vertical="center"/>
      <protection locked="0"/>
    </xf>
    <xf numFmtId="43" fontId="73" fillId="10" borderId="42" xfId="488" applyNumberFormat="1" applyFont="1" applyFill="1" applyBorder="1" applyAlignment="1" applyProtection="1">
      <alignment horizontal="left" vertical="center" shrinkToFit="1"/>
      <protection locked="0"/>
    </xf>
    <xf numFmtId="186" fontId="74" fillId="10" borderId="0" xfId="488" applyNumberFormat="1" applyFont="1" applyFill="1" applyBorder="1" applyAlignment="1" applyProtection="1">
      <alignment horizontal="left" vertical="center"/>
      <protection locked="0"/>
    </xf>
    <xf numFmtId="0" fontId="75" fillId="0" borderId="22" xfId="486" applyFont="1" applyFill="1" applyBorder="1" applyAlignment="1">
      <alignment horizontal="center" vertical="center" wrapText="1"/>
    </xf>
    <xf numFmtId="0" fontId="75" fillId="0" borderId="43" xfId="486" applyFont="1" applyFill="1" applyBorder="1" applyAlignment="1">
      <alignment horizontal="center" vertical="center" wrapText="1"/>
    </xf>
    <xf numFmtId="177" fontId="75" fillId="0" borderId="43" xfId="486" applyNumberFormat="1" applyFont="1" applyFill="1" applyBorder="1" applyAlignment="1">
      <alignment horizontal="center" vertical="center" wrapText="1"/>
    </xf>
    <xf numFmtId="187" fontId="75" fillId="0" borderId="43" xfId="486" applyNumberFormat="1" applyFont="1" applyFill="1" applyBorder="1" applyAlignment="1">
      <alignment horizontal="center" vertical="center" wrapText="1"/>
    </xf>
    <xf numFmtId="0" fontId="75" fillId="0" borderId="44" xfId="486" applyFont="1" applyFill="1" applyBorder="1" applyAlignment="1">
      <alignment horizontal="center" vertical="center" wrapText="1"/>
    </xf>
    <xf numFmtId="0" fontId="56" fillId="0" borderId="35" xfId="486" applyFont="1" applyFill="1" applyBorder="1" applyAlignment="1">
      <alignment horizontal="center" vertical="center"/>
    </xf>
    <xf numFmtId="0" fontId="56" fillId="0" borderId="7" xfId="486" applyFont="1" applyFill="1" applyBorder="1" applyAlignment="1">
      <alignment horizontal="center" vertical="center"/>
    </xf>
    <xf numFmtId="43" fontId="56" fillId="0" borderId="7" xfId="486" applyNumberFormat="1" applyFont="1" applyFill="1" applyBorder="1" applyAlignment="1">
      <alignment horizontal="left" vertical="center"/>
    </xf>
    <xf numFmtId="177" fontId="56" fillId="0" borderId="7" xfId="486" applyNumberFormat="1" applyFont="1" applyFill="1" applyBorder="1" applyAlignment="1">
      <alignment horizontal="center" vertical="center"/>
    </xf>
    <xf numFmtId="187" fontId="56" fillId="0" borderId="7" xfId="486" applyNumberFormat="1" applyFont="1" applyFill="1" applyBorder="1" applyAlignment="1">
      <alignment horizontal="right" vertical="center"/>
    </xf>
    <xf numFmtId="0" fontId="56" fillId="0" borderId="36" xfId="486" applyFont="1" applyFill="1" applyBorder="1" applyAlignment="1">
      <alignment horizontal="left" vertical="center"/>
    </xf>
    <xf numFmtId="43" fontId="56" fillId="0" borderId="7" xfId="486" applyNumberFormat="1" applyFont="1" applyFill="1" applyBorder="1" applyAlignment="1">
      <alignment vertical="center"/>
    </xf>
    <xf numFmtId="43" fontId="56" fillId="0" borderId="7" xfId="486" applyNumberFormat="1" applyFont="1" applyFill="1" applyBorder="1" applyAlignment="1">
      <alignment horizontal="center" vertical="center"/>
    </xf>
    <xf numFmtId="0" fontId="56" fillId="0" borderId="36" xfId="486" applyFont="1" applyFill="1" applyBorder="1" applyAlignment="1">
      <alignment vertical="center" wrapText="1"/>
    </xf>
    <xf numFmtId="43" fontId="76" fillId="0" borderId="7" xfId="486" applyNumberFormat="1" applyFont="1" applyFill="1" applyBorder="1" applyAlignment="1">
      <alignment horizontal="center" vertical="center"/>
    </xf>
    <xf numFmtId="187" fontId="76" fillId="0" borderId="7" xfId="486" applyNumberFormat="1" applyFont="1" applyFill="1" applyBorder="1" applyAlignment="1">
      <alignment horizontal="right" vertical="center"/>
    </xf>
    <xf numFmtId="0" fontId="56" fillId="0" borderId="36" xfId="486" applyFont="1" applyFill="1" applyBorder="1" applyAlignment="1">
      <alignment vertical="center"/>
    </xf>
    <xf numFmtId="0" fontId="56" fillId="0" borderId="7" xfId="486" applyFont="1" applyFill="1" applyBorder="1" applyAlignment="1">
      <alignment horizontal="center" vertical="center" wrapText="1"/>
    </xf>
    <xf numFmtId="10" fontId="76" fillId="0" borderId="7" xfId="486" applyNumberFormat="1" applyFont="1" applyFill="1" applyBorder="1" applyAlignment="1">
      <alignment horizontal="center" vertical="center"/>
    </xf>
    <xf numFmtId="0" fontId="37" fillId="11" borderId="35" xfId="486" applyFont="1" applyFill="1" applyBorder="1" applyAlignment="1">
      <alignment horizontal="center" vertical="center"/>
    </xf>
    <xf numFmtId="0" fontId="37" fillId="11" borderId="7" xfId="486" applyFont="1" applyFill="1" applyBorder="1" applyAlignment="1">
      <alignment horizontal="center" vertical="center"/>
    </xf>
    <xf numFmtId="187" fontId="37" fillId="11" borderId="7" xfId="486" applyNumberFormat="1" applyFont="1" applyFill="1" applyBorder="1" applyAlignment="1">
      <alignment vertical="center"/>
    </xf>
    <xf numFmtId="0" fontId="56" fillId="11" borderId="36" xfId="486" applyFont="1" applyFill="1" applyBorder="1" applyAlignment="1">
      <alignment horizontal="left" vertical="center"/>
    </xf>
    <xf numFmtId="0" fontId="37" fillId="11" borderId="37" xfId="486" applyFont="1" applyFill="1" applyBorder="1" applyAlignment="1">
      <alignment horizontal="center" vertical="center"/>
    </xf>
    <xf numFmtId="0" fontId="37" fillId="11" borderId="38" xfId="486" applyFont="1" applyFill="1" applyBorder="1" applyAlignment="1">
      <alignment horizontal="center" vertical="center"/>
    </xf>
    <xf numFmtId="187" fontId="37" fillId="11" borderId="38" xfId="486" applyNumberFormat="1" applyFont="1" applyFill="1" applyBorder="1" applyAlignment="1">
      <alignment vertical="center"/>
    </xf>
    <xf numFmtId="0" fontId="56" fillId="11" borderId="42" xfId="486" applyFont="1" applyFill="1" applyBorder="1" applyAlignment="1">
      <alignment horizontal="left" vertical="center"/>
    </xf>
    <xf numFmtId="183" fontId="68" fillId="10" borderId="0" xfId="488" applyNumberFormat="1" applyFont="1" applyFill="1" applyBorder="1" applyAlignment="1" applyProtection="1">
      <alignment horizontal="right" vertical="center"/>
      <protection locked="0"/>
    </xf>
    <xf numFmtId="0" fontId="20" fillId="10" borderId="0" xfId="489" applyFont="1" applyFill="1" applyBorder="1" applyAlignment="1">
      <alignment horizontal="right" vertical="center"/>
    </xf>
    <xf numFmtId="14" fontId="66" fillId="10" borderId="0" xfId="0" applyNumberFormat="1" applyFont="1" applyFill="1" applyBorder="1" applyAlignment="1" applyProtection="1">
      <alignment horizontal="left" vertical="center"/>
      <protection locked="0"/>
    </xf>
    <xf numFmtId="0" fontId="77" fillId="10" borderId="0" xfId="489" applyNumberFormat="1" applyFont="1" applyFill="1" applyBorder="1" applyAlignment="1" applyProtection="1">
      <alignment horizontal="right" vertical="center"/>
      <protection locked="0"/>
    </xf>
    <xf numFmtId="0" fontId="78" fillId="10" borderId="0" xfId="489" applyNumberFormat="1" applyFont="1" applyFill="1" applyBorder="1" applyAlignment="1" applyProtection="1">
      <alignment horizontal="left" vertical="center"/>
      <protection locked="0"/>
    </xf>
    <xf numFmtId="0" fontId="79" fillId="10" borderId="0" xfId="489" applyNumberFormat="1" applyFont="1" applyFill="1" applyBorder="1" applyAlignment="1" applyProtection="1">
      <alignment horizontal="right" vertical="center"/>
      <protection locked="0"/>
    </xf>
    <xf numFmtId="0" fontId="80" fillId="10" borderId="0" xfId="489" applyNumberFormat="1" applyFont="1" applyFill="1" applyBorder="1" applyAlignment="1" applyProtection="1">
      <alignment horizontal="left" vertical="center"/>
      <protection locked="0"/>
    </xf>
    <xf numFmtId="0" fontId="81" fillId="10" borderId="0" xfId="489" applyNumberFormat="1" applyFont="1" applyFill="1" applyBorder="1" applyAlignment="1" applyProtection="1">
      <alignment horizontal="left" vertical="center"/>
      <protection locked="0"/>
    </xf>
    <xf numFmtId="0" fontId="82" fillId="10" borderId="0" xfId="489" applyNumberFormat="1" applyFont="1" applyFill="1" applyBorder="1" applyAlignment="1" applyProtection="1">
      <alignment horizontal="left" vertical="center"/>
      <protection locked="0"/>
    </xf>
    <xf numFmtId="0" fontId="83" fillId="10" borderId="0" xfId="489" applyNumberFormat="1" applyFont="1" applyFill="1" applyBorder="1" applyAlignment="1" applyProtection="1">
      <alignment horizontal="left" vertical="center"/>
      <protection locked="0"/>
    </xf>
    <xf numFmtId="0" fontId="69" fillId="10" borderId="0" xfId="144" applyFont="1" applyFill="1" applyBorder="1" applyAlignment="1">
      <alignment horizontal="left" vertical="center"/>
    </xf>
    <xf numFmtId="0" fontId="69" fillId="10" borderId="0" xfId="144" applyFont="1" applyFill="1" applyAlignment="1">
      <alignment horizontal="left" vertical="center"/>
    </xf>
    <xf numFmtId="0" fontId="82" fillId="10" borderId="0" xfId="489" applyNumberFormat="1" applyFont="1" applyFill="1" applyBorder="1" applyAlignment="1" applyProtection="1">
      <alignment horizontal="right" vertical="center"/>
      <protection locked="0"/>
    </xf>
    <xf numFmtId="0" fontId="69" fillId="10" borderId="0" xfId="144" applyFont="1" applyFill="1" applyBorder="1" applyAlignment="1">
      <alignment horizontal="left" vertical="center" wrapText="1"/>
    </xf>
    <xf numFmtId="0" fontId="69" fillId="10" borderId="0" xfId="144" applyFont="1" applyFill="1" applyAlignment="1">
      <alignment horizontal="left" vertical="center" wrapText="1"/>
    </xf>
    <xf numFmtId="49" fontId="84" fillId="10" borderId="0" xfId="489" applyNumberFormat="1" applyFont="1" applyFill="1" applyBorder="1" applyAlignment="1" applyProtection="1">
      <alignment horizontal="left" vertical="center"/>
      <protection locked="0"/>
    </xf>
    <xf numFmtId="0" fontId="85" fillId="10" borderId="0" xfId="0" applyFont="1" applyFill="1" applyBorder="1" applyAlignment="1">
      <alignment horizontal="left" vertical="center"/>
    </xf>
    <xf numFmtId="0" fontId="86" fillId="10" borderId="0" xfId="0" applyFont="1" applyFill="1" applyAlignment="1">
      <alignment vertical="center"/>
    </xf>
    <xf numFmtId="49" fontId="74" fillId="10" borderId="0" xfId="488" applyNumberFormat="1" applyFont="1" applyFill="1" applyBorder="1" applyAlignment="1" applyProtection="1">
      <alignment horizontal="left" vertical="center"/>
      <protection locked="0"/>
    </xf>
    <xf numFmtId="49" fontId="67" fillId="10" borderId="0" xfId="489" applyNumberFormat="1" applyFont="1" applyFill="1" applyBorder="1" applyAlignment="1" applyProtection="1">
      <alignment horizontal="left" vertical="center"/>
      <protection locked="0"/>
    </xf>
    <xf numFmtId="49" fontId="20" fillId="10" borderId="0" xfId="489" applyNumberFormat="1" applyFont="1" applyFill="1" applyBorder="1" applyAlignment="1" applyProtection="1">
      <alignment horizontal="left" vertical="center"/>
      <protection locked="0"/>
    </xf>
    <xf numFmtId="49" fontId="68" fillId="10" borderId="0" xfId="488" applyNumberFormat="1" applyFont="1" applyFill="1" applyBorder="1" applyAlignment="1" applyProtection="1">
      <alignment horizontal="left" vertical="center"/>
      <protection locked="0"/>
    </xf>
    <xf numFmtId="49" fontId="55" fillId="10" borderId="0" xfId="488" applyNumberFormat="1" applyFont="1" applyFill="1" applyBorder="1" applyAlignment="1" applyProtection="1">
      <alignment horizontal="left" vertical="center"/>
      <protection locked="0"/>
    </xf>
    <xf numFmtId="0" fontId="14" fillId="10" borderId="0" xfId="0" applyFont="1" applyFill="1" applyAlignment="1">
      <alignment horizontal="left" vertical="center" wrapText="1"/>
    </xf>
    <xf numFmtId="49" fontId="55" fillId="0" borderId="7" xfId="273" applyNumberFormat="1" applyFont="1" applyBorder="1" applyAlignment="1" applyProtection="1" quotePrefix="1">
      <protection locked="0"/>
    </xf>
    <xf numFmtId="49" fontId="34" fillId="0" borderId="7" xfId="0" applyNumberFormat="1" applyFont="1" applyFill="1" applyBorder="1" applyAlignment="1" quotePrefix="1">
      <alignment horizontal="center" vertical="center"/>
    </xf>
    <xf numFmtId="49" fontId="46" fillId="0" borderId="7" xfId="0" applyNumberFormat="1" applyFont="1" applyFill="1" applyBorder="1" applyAlignment="1" quotePrefix="1">
      <alignment horizontal="center" vertical="center"/>
    </xf>
    <xf numFmtId="0" fontId="15" fillId="0" borderId="7" xfId="309" applyFont="1" applyFill="1" applyBorder="1" applyAlignment="1" quotePrefix="1">
      <alignment horizontal="center" vertical="center" wrapText="1"/>
    </xf>
    <xf numFmtId="0" fontId="31" fillId="0" borderId="0" xfId="0" applyFont="1" applyFill="1" applyAlignment="1" quotePrefix="1">
      <alignment vertical="center"/>
    </xf>
  </cellXfs>
  <cellStyles count="490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5" xfId="6"/>
    <cellStyle name="强调文字颜色 2 5" xfId="7"/>
    <cellStyle name="汇总 4 2" xfId="8"/>
    <cellStyle name="_ET_STYLE_NoName_-01_ 3 3 3 2" xfId="9"/>
    <cellStyle name="链接单元格 3 2" xfId="10"/>
    <cellStyle name="20% - 强调文字颜色 1 2" xfId="11"/>
    <cellStyle name="货币" xfId="12" builtinId="4"/>
    <cellStyle name="千位分隔[0]" xfId="13" builtinId="6"/>
    <cellStyle name="常规 3 4 3" xfId="14"/>
    <cellStyle name="千位分隔" xfId="15" builtinId="3"/>
    <cellStyle name="常规 7 3" xfId="16"/>
    <cellStyle name="40% - 强调文字颜色 3" xfId="17" builtinId="39"/>
    <cellStyle name="计算 2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40% - 强调文字颜色 4 2" xfId="50"/>
    <cellStyle name="计算 3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40% - 强调文字颜色 6 5" xfId="58"/>
    <cellStyle name="60% - 强调文字颜色 4 2 3" xfId="59"/>
    <cellStyle name="汇总" xfId="60" builtinId="25"/>
    <cellStyle name="好" xfId="61" builtinId="26"/>
    <cellStyle name="20% - 强调文字颜色 3 3" xfId="62"/>
    <cellStyle name="输出 3 3" xfId="63"/>
    <cellStyle name="适中" xfId="64" builtinId="28"/>
    <cellStyle name="常规 8 2" xfId="65"/>
    <cellStyle name="输出 5" xfId="66"/>
    <cellStyle name="20% - 强调文字颜色 5" xfId="67" builtinId="46"/>
    <cellStyle name=" 3]_x000d__x000a_Zoomed=1_x000d__x000a_Row=128_x000d__x000a_Column=101_x000d__x000a_Height=300_x000d__x000a_Width=301_x000d__x000a_FontName=System_x000d__x000a_FontStyle=1_x000d__x000a_FontSize=12_x000d__x000a_PrtFontNa" xfId="68"/>
    <cellStyle name="检查单元格 3 2" xfId="69"/>
    <cellStyle name="强调文字颜色 1" xfId="70" builtinId="29"/>
    <cellStyle name="链接单元格 3" xfId="71"/>
    <cellStyle name="注释 2 3 3" xfId="72"/>
    <cellStyle name="20% - 强调文字颜色 1" xfId="73" builtinId="30"/>
    <cellStyle name="??&amp;O龡&amp;H?_x0008_??_x0007__x0001__x0001_" xfId="74"/>
    <cellStyle name="40% - 强调文字颜色 4 3 2" xfId="75"/>
    <cellStyle name="汇总 3 3" xfId="76"/>
    <cellStyle name="40% - 强调文字颜色 1" xfId="77" builtinId="31"/>
    <cellStyle name="链接单元格 4" xfId="78"/>
    <cellStyle name="输出 2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汇总 3 2 2" xfId="84"/>
    <cellStyle name="输出 4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20% - 强调文字颜色 3 3 2" xfId="95"/>
    <cellStyle name="计算 5" xfId="96"/>
    <cellStyle name="适中 2" xfId="97"/>
    <cellStyle name="输出 3 3 2" xfId="98"/>
    <cellStyle name="40% - 强调文字颜色 6" xfId="99" builtinId="51"/>
    <cellStyle name="60% - 强调文字颜色 6" xfId="100" builtinId="52"/>
    <cellStyle name="_ET_STYLE_NoName_00_" xfId="101"/>
    <cellStyle name="标题 4 2 2" xfId="102"/>
    <cellStyle name="20% - 强调文字颜色 1 5" xfId="103"/>
    <cellStyle name="好 2" xfId="104"/>
    <cellStyle name="20% - 强调文字颜色 1 2 3" xfId="105"/>
    <cellStyle name="_ET_STYLE_NoName_00__南区长促工资1004_5" xfId="106"/>
    <cellStyle name="40% - 强调文字颜色 2 2" xfId="107"/>
    <cellStyle name="20% - 强调文字颜色 1 4" xfId="108"/>
    <cellStyle name="20% - 强调文字颜色 1 3" xfId="109"/>
    <cellStyle name="??_x005f_x0011_?_x005f_x0010_?" xfId="110"/>
    <cellStyle name="差 2 3" xfId="111"/>
    <cellStyle name="_ET_STYLE_NoName_00__北区长促工资1004_3" xfId="112"/>
    <cellStyle name="20% - 强调文字颜色 1 3 2" xfId="113"/>
    <cellStyle name="0,0_x000a__x000a_NA_x000a__x000a_" xfId="114"/>
    <cellStyle name="强调文字颜色 5 5" xfId="115"/>
    <cellStyle name="20% - 强调文字颜色 1 2 2" xfId="116"/>
    <cellStyle name="常规 2 3 2 3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40% - 强调文字颜色 3 2" xfId="202"/>
    <cellStyle name="计算 2 2" xfId="203"/>
    <cellStyle name="40% - 强调文字颜色 3 2 2" xfId="204"/>
    <cellStyle name="计算 2 2 2" xfId="205"/>
    <cellStyle name="40% - 强调文字颜色 3 2 3" xfId="206"/>
    <cellStyle name="40% - 强调文字颜色 3 3" xfId="207"/>
    <cellStyle name="计算 2 3" xfId="208"/>
    <cellStyle name="40% - 强调文字颜色 3 3 2" xfId="209"/>
    <cellStyle name="计算 2 3 2" xfId="210"/>
    <cellStyle name="40% - 强调文字颜色 3 4" xfId="211"/>
    <cellStyle name="计算 2 4" xfId="212"/>
    <cellStyle name="40% - 强调文字颜色 3 5" xfId="213"/>
    <cellStyle name="40% - 强调文字颜色 4 2 2" xfId="214"/>
    <cellStyle name="标题 4 4" xfId="215"/>
    <cellStyle name="汇总 2 3" xfId="216"/>
    <cellStyle name="计算 3 2 2" xfId="217"/>
    <cellStyle name="检查单元格 2" xfId="218"/>
    <cellStyle name="40% - 强调文字颜色 4 2 3" xfId="219"/>
    <cellStyle name="标题 4 5" xfId="220"/>
    <cellStyle name="汇总 2 4" xfId="221"/>
    <cellStyle name="检查单元格 3" xfId="222"/>
    <cellStyle name="40% - 强调文字颜色 4 3" xfId="223"/>
    <cellStyle name="计算 3 3" xfId="224"/>
    <cellStyle name="输入 2 2 2" xfId="225"/>
    <cellStyle name="40% - 强调文字颜色 5 2" xfId="226"/>
    <cellStyle name="好 2 3" xfId="227"/>
    <cellStyle name="计算 4 2" xfId="228"/>
    <cellStyle name="40% - 强调文字颜色 5 2 3" xfId="229"/>
    <cellStyle name="60% - 强调文字颜色 4 4" xfId="230"/>
    <cellStyle name="40% - 强调文字颜色 5 3" xfId="231"/>
    <cellStyle name="输入 2 3 2" xfId="232"/>
    <cellStyle name="40% - 强调文字颜色 5 3 2" xfId="233"/>
    <cellStyle name="60% - 强调文字颜色 5 3" xfId="234"/>
    <cellStyle name="40% - 强调文字颜色 5 5" xfId="235"/>
    <cellStyle name="40% - 强调文字颜色 6 2" xfId="236"/>
    <cellStyle name="计算 5 2" xfId="237"/>
    <cellStyle name="适中 2 2" xfId="238"/>
    <cellStyle name="40% - 强调文字颜色 6 2 2" xfId="239"/>
    <cellStyle name="40% - 强调文字颜色 6 2 3" xfId="240"/>
    <cellStyle name="40% - 强调文字颜色 6 3" xfId="241"/>
    <cellStyle name="强调文字颜色 3 2 2" xfId="242"/>
    <cellStyle name="适中 2 3" xfId="243"/>
    <cellStyle name="40% - 强调文字颜色 6 3 2" xfId="244"/>
    <cellStyle name="解释性文本 3" xfId="245"/>
    <cellStyle name="40% - 强调文字颜色 6 4" xfId="246"/>
    <cellStyle name="60% - 强调文字颜色 4 2 2" xfId="247"/>
    <cellStyle name="强调文字颜色 3 2 3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60% - 强调文字颜色 1 5" xfId="253"/>
    <cellStyle name="警告文本 2 2" xfId="254"/>
    <cellStyle name="注释 5 2 2" xfId="255"/>
    <cellStyle name="60% - 强调文字颜色 2 2 3" xfId="256"/>
    <cellStyle name="60% - 强调文字颜色 2 3 2" xfId="257"/>
    <cellStyle name="常规 6 2" xfId="258"/>
    <cellStyle name="注释 2" xfId="259"/>
    <cellStyle name="60% - 强调文字颜色 2 4" xfId="260"/>
    <cellStyle name="常规 7" xfId="261"/>
    <cellStyle name="60% - 强调文字颜色 2 5" xfId="262"/>
    <cellStyle name="常规 8" xfId="263"/>
    <cellStyle name="警告文本 3 2" xfId="264"/>
    <cellStyle name="60% - 强调文字颜色 3 2 2" xfId="265"/>
    <cellStyle name="强调文字颜色 2 2 3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60% - 强调文字颜色 4 5" xfId="272"/>
    <cellStyle name="常规_创联至信12年工资表sn803808" xfId="273"/>
    <cellStyle name="60% - 强调文字颜色 5 2" xfId="274"/>
    <cellStyle name="60% - 强调文字颜色 5 2 2" xfId="275"/>
    <cellStyle name="强调文字颜色 4 2 3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60% - 强调文字颜色 6 2 2" xfId="282"/>
    <cellStyle name="常规 3 5 3" xfId="283"/>
    <cellStyle name="强调文字颜色 5 2 3" xfId="284"/>
    <cellStyle name="60% - 强调文字颜色 6 2 3" xfId="285"/>
    <cellStyle name="Normal_08'前程工资8月" xfId="286"/>
    <cellStyle name="60% - 强调文字颜色 6 3" xfId="287"/>
    <cellStyle name="60% - 强调文字颜色 6 4" xfId="288"/>
    <cellStyle name="60% - 强调文字颜色 6 5" xfId="289"/>
    <cellStyle name="Comma_SALARYBJ" xfId="290"/>
    <cellStyle name="警告文本 2 3" xfId="291"/>
    <cellStyle name="百分比 2" xfId="292"/>
    <cellStyle name="差 4" xfId="293"/>
    <cellStyle name="百分比 2 2" xfId="294"/>
    <cellStyle name="标题 1 2" xfId="295"/>
    <cellStyle name="标题 1 2 2" xfId="296"/>
    <cellStyle name="标题 1 2 3" xfId="297"/>
    <cellStyle name="标题 1 3" xfId="298"/>
    <cellStyle name="标题 1 3 2" xfId="299"/>
    <cellStyle name="汇总 3" xfId="300"/>
    <cellStyle name="标题 1 4" xfId="301"/>
    <cellStyle name="标题 1 5" xfId="302"/>
    <cellStyle name="标题 2 2" xfId="303"/>
    <cellStyle name="标题 2 2 2" xfId="304"/>
    <cellStyle name="标题 2 2 3" xfId="305"/>
    <cellStyle name="好 3 2" xfId="306"/>
    <cellStyle name="标题 2 3" xfId="307"/>
    <cellStyle name="标题 2 3 2" xfId="308"/>
    <cellStyle name="常规 11" xfId="309"/>
    <cellStyle name="标题 2 4" xfId="310"/>
    <cellStyle name="标题 2 5" xfId="311"/>
    <cellStyle name="标题 3 2" xfId="312"/>
    <cellStyle name="标题 3 2 2" xfId="313"/>
    <cellStyle name="好 5" xfId="314"/>
    <cellStyle name="标题 3 2 3" xfId="315"/>
    <cellStyle name="标题 3 3" xfId="316"/>
    <cellStyle name="标题 3 3 2" xfId="317"/>
    <cellStyle name="样式 1" xfId="318"/>
    <cellStyle name="标题 3 4" xfId="319"/>
    <cellStyle name="标题 3 5" xfId="320"/>
    <cellStyle name="标题 4 2" xfId="321"/>
    <cellStyle name="千位分隔 3" xfId="322"/>
    <cellStyle name="标题 4 2 3" xfId="323"/>
    <cellStyle name="标题 4 3" xfId="324"/>
    <cellStyle name="汇总 2 2" xfId="325"/>
    <cellStyle name="标题 4 3 2" xfId="326"/>
    <cellStyle name="汇总 2 2 2" xfId="327"/>
    <cellStyle name="标题 5" xfId="328"/>
    <cellStyle name="解释性文本 2 3" xfId="329"/>
    <cellStyle name="标题 5 2" xfId="330"/>
    <cellStyle name="强调文字颜色 1 4" xfId="331"/>
    <cellStyle name="标题 5 3" xfId="332"/>
    <cellStyle name="汇总 3 2" xfId="333"/>
    <cellStyle name="强调文字颜色 1 5" xfId="334"/>
    <cellStyle name="标题 6" xfId="335"/>
    <cellStyle name="标题 6 2" xfId="336"/>
    <cellStyle name="强调文字颜色 2 4" xfId="337"/>
    <cellStyle name="标题 7" xfId="338"/>
    <cellStyle name="注释 2 4 2" xfId="339"/>
    <cellStyle name="标题 8" xfId="340"/>
    <cellStyle name="差 2" xfId="341"/>
    <cellStyle name="解释性文本 5" xfId="342"/>
    <cellStyle name="差 2 2" xfId="343"/>
    <cellStyle name="差 3" xfId="344"/>
    <cellStyle name="差 3 2" xfId="345"/>
    <cellStyle name="常规 11 2" xfId="346"/>
    <cellStyle name="常规 11 3" xfId="347"/>
    <cellStyle name="常规 2 3 2 2" xfId="348"/>
    <cellStyle name="常规 12" xfId="349"/>
    <cellStyle name="常规 12 2" xfId="350"/>
    <cellStyle name="常规 12 3" xfId="351"/>
    <cellStyle name="常规 14" xfId="352"/>
    <cellStyle name="强调文字颜色 3 3 2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常规 2 3" xfId="361"/>
    <cellStyle name="输入 3 2" xfId="362"/>
    <cellStyle name="常规 2 3 2" xfId="363"/>
    <cellStyle name="输入 3 2 2" xfId="364"/>
    <cellStyle name="常规_全国客服表格" xfId="365"/>
    <cellStyle name="常规 2 3 3" xfId="366"/>
    <cellStyle name="常规 2 3 4" xfId="367"/>
    <cellStyle name="常规 2 4" xfId="368"/>
    <cellStyle name="输入 3 3" xfId="369"/>
    <cellStyle name="常规 2 4 2" xfId="370"/>
    <cellStyle name="常规 2 5" xfId="371"/>
    <cellStyle name="强调文字颜色 4 2" xfId="372"/>
    <cellStyle name="常规 2 5 2" xfId="373"/>
    <cellStyle name="强调文字颜色 4 2 2" xfId="374"/>
    <cellStyle name="常规 2 6" xfId="375"/>
    <cellStyle name="强调文字颜色 4 3" xfId="376"/>
    <cellStyle name="常规 2 6 2" xfId="377"/>
    <cellStyle name="强调文字颜色 4 3 2" xfId="378"/>
    <cellStyle name="常规 2 6 2 2" xfId="379"/>
    <cellStyle name="常规 27" xfId="380"/>
    <cellStyle name="常规 3 2 2" xfId="381"/>
    <cellStyle name="适中 4" xfId="382"/>
    <cellStyle name="常规 3 3 2" xfId="383"/>
    <cellStyle name="常规 3 3 3" xfId="384"/>
    <cellStyle name="常规 3 4" xfId="385"/>
    <cellStyle name="常规 3 4 2" xfId="386"/>
    <cellStyle name="常规 3 5" xfId="387"/>
    <cellStyle name="强调文字颜色 5 2" xfId="388"/>
    <cellStyle name="常规 3 5 2" xfId="389"/>
    <cellStyle name="强调文字颜色 5 2 2" xfId="390"/>
    <cellStyle name="常规 4 2 2" xfId="391"/>
    <cellStyle name="常规 4 4" xfId="392"/>
    <cellStyle name="常规 4 3" xfId="393"/>
    <cellStyle name="输入 5 2" xfId="394"/>
    <cellStyle name="常规 7 2" xfId="395"/>
    <cellStyle name="常规 8 4" xfId="396"/>
    <cellStyle name="强调文字颜色 6 3 2" xfId="397"/>
    <cellStyle name="常规 9" xfId="398"/>
    <cellStyle name="常规_付款通知书智联（神数系统）" xfId="399"/>
    <cellStyle name="警告文本 2" xfId="400"/>
    <cellStyle name="注释 5 2" xfId="401"/>
    <cellStyle name="好 2 2" xfId="402"/>
    <cellStyle name="好 3" xfId="403"/>
    <cellStyle name="好 4" xfId="404"/>
    <cellStyle name="汇总 2" xfId="405"/>
    <cellStyle name="汇总 2 3 2" xfId="406"/>
    <cellStyle name="检查单元格 2 2" xfId="407"/>
    <cellStyle name="汇总 4" xfId="408"/>
    <cellStyle name="汇总 5" xfId="409"/>
    <cellStyle name="汇总 5 2" xfId="410"/>
    <cellStyle name="强调文字颜色 3 5" xfId="411"/>
    <cellStyle name="常规_Sheet1" xfId="412"/>
    <cellStyle name="检查单元格 2 3" xfId="413"/>
    <cellStyle name="检查单元格 4" xfId="414"/>
    <cellStyle name="检查单元格 5" xfId="415"/>
    <cellStyle name="解释性文本 2" xfId="416"/>
    <cellStyle name="解释性文本 3 2" xfId="417"/>
    <cellStyle name="解释性文本 4" xfId="418"/>
    <cellStyle name="警告文本 3" xfId="419"/>
    <cellStyle name="注释 5 3" xfId="420"/>
    <cellStyle name="警告文本 4" xfId="421"/>
    <cellStyle name="警告文本 5" xfId="422"/>
    <cellStyle name="链接单元格 2" xfId="423"/>
    <cellStyle name="注释 2 3 2" xfId="424"/>
    <cellStyle name="链接单元格 2 2" xfId="425"/>
    <cellStyle name="注释 2 3 2 2" xfId="426"/>
    <cellStyle name="链接单元格 2 3" xfId="427"/>
    <cellStyle name="千位分隔 2" xfId="428"/>
    <cellStyle name="千位分隔 2 2" xfId="429"/>
    <cellStyle name="强调文字颜色 1 2" xfId="430"/>
    <cellStyle name="强调文字颜色 1 2 2" xfId="431"/>
    <cellStyle name="强调文字颜色 1 3" xfId="432"/>
    <cellStyle name="强调文字颜色 1 3 2" xfId="433"/>
    <cellStyle name="强调文字颜色 2 2" xfId="434"/>
    <cellStyle name="强调文字颜色 2 2 2" xfId="435"/>
    <cellStyle name="强调文字颜色 2 3" xfId="436"/>
    <cellStyle name="强调文字颜色 3 2" xfId="437"/>
    <cellStyle name="输入 2 4" xfId="438"/>
    <cellStyle name="强调文字颜色 3 3" xfId="439"/>
    <cellStyle name="强调文字颜色 3 4" xfId="440"/>
    <cellStyle name="强调文字颜色 4 4" xfId="441"/>
    <cellStyle name="强调文字颜色 4 5" xfId="442"/>
    <cellStyle name="输入 2" xfId="443"/>
    <cellStyle name="强调文字颜色 5 3" xfId="444"/>
    <cellStyle name="强调文字颜色 5 3 2" xfId="445"/>
    <cellStyle name="强调文字颜色 5 4" xfId="446"/>
    <cellStyle name="强调文字颜色 6 2" xfId="447"/>
    <cellStyle name="强调文字颜色 6 2 2" xfId="448"/>
    <cellStyle name="强调文字颜色 6 2 3" xfId="449"/>
    <cellStyle name="强调文字颜色 6 3" xfId="450"/>
    <cellStyle name="强调文字颜色 6 4" xfId="451"/>
    <cellStyle name="强调文字颜色 6 5" xfId="452"/>
    <cellStyle name="适中 3" xfId="453"/>
    <cellStyle name="适中 3 2" xfId="454"/>
    <cellStyle name="适中 5" xfId="455"/>
    <cellStyle name="输出 2 2 2 2" xfId="456"/>
    <cellStyle name="输出 2 3 2 2" xfId="457"/>
    <cellStyle name="输出 2 3 3" xfId="458"/>
    <cellStyle name="输出 3 2 2 2" xfId="459"/>
    <cellStyle name="输入 2 2" xfId="460"/>
    <cellStyle name="样式 2 4" xfId="461"/>
    <cellStyle name="输入 2 3" xfId="462"/>
    <cellStyle name="样式 2 5" xfId="463"/>
    <cellStyle name="输入 3" xfId="464"/>
    <cellStyle name="输入 4" xfId="465"/>
    <cellStyle name="输入 5" xfId="466"/>
    <cellStyle name="样式 1 2" xfId="467"/>
    <cellStyle name="样式 2" xfId="468"/>
    <cellStyle name="样式 2 2" xfId="469"/>
    <cellStyle name="样式 2 3" xfId="470"/>
    <cellStyle name="注释 2 2" xfId="471"/>
    <cellStyle name="注释 2 2 2" xfId="472"/>
    <cellStyle name="注释 2 2 2 2" xfId="473"/>
    <cellStyle name="注释 2 2 3" xfId="474"/>
    <cellStyle name="注释 2 4" xfId="475"/>
    <cellStyle name="注释 2 5" xfId="476"/>
    <cellStyle name="注释 3" xfId="477"/>
    <cellStyle name="注释 3 2" xfId="478"/>
    <cellStyle name="注释 3 3" xfId="479"/>
    <cellStyle name="注释 3 3 2" xfId="480"/>
    <cellStyle name="注释 3 4" xfId="481"/>
    <cellStyle name="注释 4" xfId="482"/>
    <cellStyle name="注释 4 2" xfId="483"/>
    <cellStyle name="注释 4 2 2" xfId="484"/>
    <cellStyle name="注释 4 3" xfId="485"/>
    <cellStyle name="常规_0705 UL South CS meeting (chonghua)" xfId="486"/>
    <cellStyle name="㼿㼿㼿㼿㼿" xfId="487"/>
    <cellStyle name="㼿㼿㼿㼿㼿㼿㼿" xfId="488"/>
    <cellStyle name="㼿㼿㼿㼿? 2" xfId="489"/>
  </cellStyles>
  <dxfs count="5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O4" activePane="bottomRight" state="frozen"/>
      <selection/>
      <selection pane="topRight"/>
      <selection pane="bottomLeft"/>
      <selection pane="bottomRight" activeCell="A6" sqref="$A6:$XFD20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252" t="s">
        <v>51</v>
      </c>
      <c r="D4" s="37" t="s">
        <v>52</v>
      </c>
      <c r="E4" s="253" t="s">
        <v>53</v>
      </c>
      <c r="F4" s="38" t="str">
        <f>IF(MOD(MID(E4,17,1),2)=1,"男","女")</f>
        <v>男</v>
      </c>
      <c r="G4" s="254">
        <v>18035163638</v>
      </c>
      <c r="H4" s="255"/>
      <c r="I4" s="255"/>
      <c r="J4" s="257"/>
      <c r="K4" s="255"/>
      <c r="L4" s="258">
        <v>9500</v>
      </c>
      <c r="M4" s="258">
        <v>264</v>
      </c>
      <c r="N4" s="258">
        <v>66</v>
      </c>
      <c r="O4" s="258">
        <v>9.9</v>
      </c>
      <c r="P4" s="258">
        <v>180</v>
      </c>
      <c r="Q4" s="89">
        <f>ROUND(SUM(M4:P4),2)</f>
        <v>519.9</v>
      </c>
      <c r="R4" s="70">
        <v>0</v>
      </c>
      <c r="S4" s="90">
        <f>L4</f>
        <v>9500</v>
      </c>
      <c r="T4" s="91">
        <v>5000</v>
      </c>
      <c r="U4" s="91">
        <f>Q4</f>
        <v>519.9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3980.1</v>
      </c>
      <c r="AE4" s="94">
        <f>ROUND(MAX((AD4)*{0.03;0.1;0.2;0.25;0.3;0.35;0.45}-{0;2520;16920;31920;52920;85920;181920},0),2)</f>
        <v>119.4</v>
      </c>
      <c r="AF4" s="95">
        <v>0</v>
      </c>
      <c r="AG4" s="95">
        <f>IF((AE4-AF4)&lt;0,0,AE4-AF4)</f>
        <v>119.4</v>
      </c>
      <c r="AH4" s="102">
        <f>ROUND(IF((L4-Q4-AG4)&lt;0,0,(L4-Q4-AG4)),2)</f>
        <v>8860.7</v>
      </c>
      <c r="AI4" s="103"/>
      <c r="AJ4" s="102">
        <f>AH4+AI4</f>
        <v>8860.7</v>
      </c>
      <c r="AK4" s="104"/>
      <c r="AL4" s="102">
        <f>AJ4+AG4+AK4</f>
        <v>8980.1</v>
      </c>
      <c r="AM4" s="104"/>
      <c r="AN4" s="104"/>
      <c r="AO4" s="104" t="s">
        <v>54</v>
      </c>
      <c r="AP4" s="104" t="s">
        <v>55</v>
      </c>
      <c r="AQ4" s="104" t="s">
        <v>56</v>
      </c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不</v>
      </c>
    </row>
    <row r="5" s="12" customFormat="1" ht="18" customHeight="1" spans="1:46">
      <c r="A5" s="36">
        <v>2</v>
      </c>
      <c r="B5" s="37" t="s">
        <v>50</v>
      </c>
      <c r="C5" s="256" t="s">
        <v>57</v>
      </c>
      <c r="D5" s="37" t="s">
        <v>52</v>
      </c>
      <c r="E5" s="364" t="s">
        <v>58</v>
      </c>
      <c r="F5" s="38" t="str">
        <f>IF(MOD(MID(E5,17,1),2)=1,"男","女")</f>
        <v>女</v>
      </c>
      <c r="G5" s="254">
        <v>13926009696</v>
      </c>
      <c r="H5" s="255"/>
      <c r="I5" s="255"/>
      <c r="J5" s="257"/>
      <c r="K5" s="255"/>
      <c r="L5" s="258">
        <v>5800</v>
      </c>
      <c r="M5" s="258">
        <v>304.24</v>
      </c>
      <c r="N5" s="258">
        <v>123.5</v>
      </c>
      <c r="O5" s="258">
        <v>7.61</v>
      </c>
      <c r="P5" s="258">
        <v>0</v>
      </c>
      <c r="Q5" s="89">
        <f>ROUND(SUM(M5:P5),2)</f>
        <v>435.35</v>
      </c>
      <c r="R5" s="70">
        <v>0</v>
      </c>
      <c r="S5" s="90">
        <f>L5</f>
        <v>5800</v>
      </c>
      <c r="T5" s="91">
        <v>5000</v>
      </c>
      <c r="U5" s="91">
        <f>Q5</f>
        <v>435.35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</f>
        <v>0</v>
      </c>
      <c r="AD5" s="93">
        <f>ROUND(S5-T5-U5-AB5-AC5,2)</f>
        <v>364.65</v>
      </c>
      <c r="AE5" s="94">
        <f>ROUND(MAX((AD5)*{0.03;0.1;0.2;0.25;0.3;0.35;0.45}-{0;2520;16920;31920;52920;85920;181920},0),2)</f>
        <v>10.94</v>
      </c>
      <c r="AF5" s="95">
        <v>0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15300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15300</v>
      </c>
      <c r="T6" s="74">
        <f t="shared" si="0"/>
        <v>10000</v>
      </c>
      <c r="U6" s="74">
        <f t="shared" si="0"/>
        <v>955.25</v>
      </c>
      <c r="V6" s="74">
        <f t="shared" si="0"/>
        <v>0</v>
      </c>
      <c r="W6" s="74">
        <f t="shared" si="0"/>
        <v>0</v>
      </c>
      <c r="X6" s="74">
        <f t="shared" si="0"/>
        <v>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0</v>
      </c>
      <c r="AC6" s="74">
        <f t="shared" si="0"/>
        <v>0</v>
      </c>
      <c r="AD6" s="74">
        <f t="shared" si="0"/>
        <v>4344.75</v>
      </c>
      <c r="AE6" s="74">
        <f t="shared" si="0"/>
        <v>130.34</v>
      </c>
      <c r="AF6" s="74">
        <f t="shared" si="0"/>
        <v>0</v>
      </c>
      <c r="AG6" s="74">
        <f t="shared" si="0"/>
        <v>130.34</v>
      </c>
      <c r="AH6" s="74">
        <f t="shared" si="0"/>
        <v>14214.41</v>
      </c>
      <c r="AI6" s="105">
        <f t="shared" si="0"/>
        <v>0</v>
      </c>
      <c r="AJ6" s="74">
        <f t="shared" si="0"/>
        <v>14214.41</v>
      </c>
      <c r="AK6" s="74">
        <f t="shared" si="0"/>
        <v>0</v>
      </c>
      <c r="AL6" s="74">
        <f t="shared" si="0"/>
        <v>14344.75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14214.41</v>
      </c>
      <c r="C11" s="48">
        <f>AG6</f>
        <v>130.34</v>
      </c>
      <c r="D11" s="48">
        <f>AK6</f>
        <v>0</v>
      </c>
      <c r="E11" s="48">
        <f>B11+C11+D11</f>
        <v>14344.75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10" stopIfTrue="1"/>
  </conditionalFormatting>
  <conditionalFormatting sqref="B13:B17">
    <cfRule type="duplicateValues" dxfId="0" priority="1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17" stopIfTrue="1"/>
    <cfRule type="expression" dxfId="1" priority="19" stopIfTrue="1">
      <formula>AND(COUNTIF($B$6:$B$65442,C10)+COUNTIF($B$1:$B$3,C10)&gt;1,NOT(ISBLANK(C10)))</formula>
    </cfRule>
    <cfRule type="expression" dxfId="1" priority="21" stopIfTrue="1">
      <formula>AND(COUNTIF($B$17:$B$65393,C10)+COUNTIF($B$1:$B$16,C10)&gt;1,NOT(ISBLANK(C10)))</formula>
    </cfRule>
    <cfRule type="expression" dxfId="1" priority="23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view="pageBreakPreview" zoomScaleNormal="100" workbookViewId="0">
      <selection activeCell="G23" sqref="G23"/>
    </sheetView>
  </sheetViews>
  <sheetFormatPr defaultColWidth="9" defaultRowHeight="13.5"/>
  <cols>
    <col min="1" max="2" width="9" style="261"/>
    <col min="3" max="3" width="10.75" style="261" customWidth="1"/>
    <col min="4" max="4" width="16.75" style="261" customWidth="1"/>
    <col min="5" max="5" width="11.75" style="261" customWidth="1"/>
    <col min="6" max="6" width="9" style="261"/>
    <col min="7" max="7" width="10.75" style="261" customWidth="1"/>
    <col min="8" max="12" width="9" style="261"/>
    <col min="13" max="13" width="9.5" style="261" customWidth="1"/>
    <col min="14" max="14" width="16.5" style="261" customWidth="1"/>
    <col min="15" max="16384" width="9" style="261"/>
  </cols>
  <sheetData>
    <row r="1" s="261" customFormat="1" ht="25.5" spans="1:14">
      <c r="A1" s="262" t="s">
        <v>72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="261" customFormat="1" ht="14.25" spans="1:14">
      <c r="A2" s="263"/>
      <c r="B2" s="264"/>
      <c r="C2" s="264"/>
      <c r="D2" s="265"/>
      <c r="E2" s="265"/>
      <c r="F2" s="265"/>
      <c r="G2" s="263"/>
      <c r="H2" s="263"/>
      <c r="I2" s="263"/>
      <c r="J2" s="265"/>
      <c r="K2" s="265"/>
      <c r="L2" s="265"/>
      <c r="M2" s="265"/>
      <c r="N2" s="265"/>
    </row>
    <row r="3" s="261" customFormat="1" spans="1:14">
      <c r="A3" s="266"/>
      <c r="B3" s="267"/>
      <c r="C3" s="268"/>
      <c r="D3" s="269"/>
      <c r="E3" s="270"/>
      <c r="F3" s="270"/>
      <c r="G3" s="271"/>
      <c r="H3" s="272"/>
      <c r="I3" s="267"/>
      <c r="J3" s="268"/>
      <c r="K3" s="269"/>
      <c r="L3" s="340"/>
      <c r="M3" s="265"/>
      <c r="N3" s="265"/>
    </row>
    <row r="4" s="261" customFormat="1" spans="1:14">
      <c r="A4" s="266"/>
      <c r="B4" s="273" t="s">
        <v>73</v>
      </c>
      <c r="C4" s="273"/>
      <c r="D4" s="273"/>
      <c r="E4" s="273"/>
      <c r="F4" s="274"/>
      <c r="G4" s="273"/>
      <c r="H4" s="272"/>
      <c r="K4" s="265"/>
      <c r="L4" s="341"/>
      <c r="M4" s="342"/>
      <c r="N4" s="265"/>
    </row>
    <row r="5" s="261" customFormat="1" spans="1:14">
      <c r="A5" s="275"/>
      <c r="B5" s="276" t="s">
        <v>74</v>
      </c>
      <c r="C5" s="269"/>
      <c r="D5" s="269"/>
      <c r="E5" s="269"/>
      <c r="F5" s="269"/>
      <c r="G5" s="269"/>
      <c r="H5" s="277"/>
      <c r="I5" s="272"/>
      <c r="J5" s="267"/>
      <c r="K5" s="268"/>
      <c r="L5" s="340"/>
      <c r="M5" s="265"/>
      <c r="N5" s="265"/>
    </row>
    <row r="6" s="261" customFormat="1" ht="9.75" customHeight="1" spans="1:14">
      <c r="A6" s="278"/>
      <c r="B6" s="278"/>
      <c r="C6" s="278"/>
      <c r="D6" s="278"/>
      <c r="E6" s="278"/>
      <c r="F6" s="278"/>
      <c r="G6" s="278"/>
      <c r="H6" s="278"/>
      <c r="I6" s="343"/>
      <c r="J6" s="343"/>
      <c r="K6" s="344"/>
      <c r="L6" s="344"/>
      <c r="M6" s="344"/>
      <c r="N6" s="344"/>
    </row>
    <row r="7" s="261" customFormat="1" ht="15" spans="1:14">
      <c r="A7" s="278"/>
      <c r="B7" s="279" t="s">
        <v>75</v>
      </c>
      <c r="C7" s="280"/>
      <c r="D7" s="280"/>
      <c r="E7" s="280"/>
      <c r="F7" s="280"/>
      <c r="G7" s="280"/>
      <c r="H7" s="280"/>
      <c r="I7" s="345" t="s">
        <v>76</v>
      </c>
      <c r="J7" s="345"/>
      <c r="K7" s="346"/>
      <c r="L7" s="264"/>
      <c r="M7" s="264"/>
      <c r="N7" s="347"/>
    </row>
    <row r="8" s="261" customFormat="1" ht="14.25" spans="1:14">
      <c r="A8" s="278"/>
      <c r="B8" s="281" t="s">
        <v>77</v>
      </c>
      <c r="C8" s="282"/>
      <c r="D8" s="282"/>
      <c r="E8" s="283">
        <f>D10</f>
        <v>43415.64</v>
      </c>
      <c r="F8" s="284"/>
      <c r="G8" s="284"/>
      <c r="H8" s="285"/>
      <c r="I8" s="348"/>
      <c r="J8" s="349" t="s">
        <v>78</v>
      </c>
      <c r="K8" s="349"/>
      <c r="L8" s="349"/>
      <c r="M8" s="349"/>
      <c r="N8" s="349"/>
    </row>
    <row r="9" s="261" customFormat="1" ht="14.25" spans="1:14">
      <c r="A9" s="278"/>
      <c r="B9" s="286" t="s">
        <v>79</v>
      </c>
      <c r="C9" s="287"/>
      <c r="D9" s="287"/>
      <c r="E9" s="288">
        <f>G25</f>
        <v>43415.64</v>
      </c>
      <c r="F9" s="289"/>
      <c r="G9" s="289"/>
      <c r="H9" s="290"/>
      <c r="I9" s="349"/>
      <c r="J9" s="350" t="s">
        <v>80</v>
      </c>
      <c r="K9" s="350"/>
      <c r="L9" s="350"/>
      <c r="M9" s="350"/>
      <c r="N9" s="351"/>
    </row>
    <row r="10" s="261" customFormat="1" ht="15" spans="1:14">
      <c r="A10" s="278"/>
      <c r="B10" s="291" t="s">
        <v>81</v>
      </c>
      <c r="C10" s="292"/>
      <c r="D10" s="293">
        <f>G25</f>
        <v>43415.64</v>
      </c>
      <c r="E10" s="294" t="s">
        <v>82</v>
      </c>
      <c r="F10" s="295"/>
      <c r="G10" s="296"/>
      <c r="H10" s="297">
        <v>0</v>
      </c>
      <c r="I10" s="352"/>
      <c r="J10" s="353" t="s">
        <v>83</v>
      </c>
      <c r="K10" s="353"/>
      <c r="L10" s="353"/>
      <c r="M10" s="353"/>
      <c r="N10" s="354"/>
    </row>
    <row r="11" s="261" customFormat="1" ht="14.25" spans="1:14">
      <c r="A11" s="278"/>
      <c r="B11" s="298" t="s">
        <v>84</v>
      </c>
      <c r="C11" s="299"/>
      <c r="D11" s="300"/>
      <c r="E11" s="301" t="s">
        <v>85</v>
      </c>
      <c r="F11" s="302"/>
      <c r="G11" s="303"/>
      <c r="H11" s="304"/>
      <c r="I11" s="355"/>
      <c r="J11" s="356"/>
      <c r="K11" s="355"/>
      <c r="L11" s="355"/>
      <c r="M11" s="355"/>
      <c r="N11" s="357"/>
    </row>
    <row r="12" s="261" customFormat="1" spans="1:14">
      <c r="A12" s="275"/>
      <c r="B12" s="298" t="s">
        <v>86</v>
      </c>
      <c r="C12" s="299"/>
      <c r="D12" s="300">
        <v>0</v>
      </c>
      <c r="E12" s="301" t="s">
        <v>87</v>
      </c>
      <c r="F12" s="302"/>
      <c r="G12" s="303"/>
      <c r="H12" s="304"/>
      <c r="I12" s="358"/>
      <c r="J12" s="359"/>
      <c r="K12" s="360"/>
      <c r="L12" s="360"/>
      <c r="M12" s="360"/>
      <c r="N12" s="360"/>
    </row>
    <row r="13" s="261" customFormat="1" ht="14.25" spans="1:14">
      <c r="A13" s="265"/>
      <c r="B13" s="305" t="s">
        <v>88</v>
      </c>
      <c r="C13" s="306"/>
      <c r="D13" s="307">
        <v>0</v>
      </c>
      <c r="E13" s="308"/>
      <c r="F13" s="309"/>
      <c r="G13" s="310"/>
      <c r="H13" s="311"/>
      <c r="I13" s="278"/>
      <c r="J13" s="361"/>
      <c r="K13" s="362"/>
      <c r="L13" s="362"/>
      <c r="M13" s="362"/>
      <c r="N13" s="362"/>
    </row>
    <row r="14" s="261" customFormat="1" ht="5.25" customHeight="1" spans="1:14">
      <c r="A14" s="312"/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</row>
    <row r="15" s="261" customFormat="1" spans="1:14">
      <c r="A15" s="265" t="s">
        <v>89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</row>
    <row r="16" s="261" customFormat="1" ht="3" customHeight="1" spans="1:14">
      <c r="A16" s="265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</row>
    <row r="17" s="261" customFormat="1" ht="18.75" spans="2:13">
      <c r="B17" s="313" t="s">
        <v>2</v>
      </c>
      <c r="C17" s="314" t="s">
        <v>90</v>
      </c>
      <c r="D17" s="314" t="s">
        <v>91</v>
      </c>
      <c r="E17" s="314"/>
      <c r="F17" s="315" t="s">
        <v>92</v>
      </c>
      <c r="G17" s="316" t="s">
        <v>93</v>
      </c>
      <c r="H17" s="317" t="s">
        <v>94</v>
      </c>
      <c r="J17" s="363" t="s">
        <v>95</v>
      </c>
      <c r="K17" s="363"/>
      <c r="L17" s="363"/>
      <c r="M17" s="363"/>
    </row>
    <row r="18" s="261" customFormat="1" ht="16.5" spans="2:13">
      <c r="B18" s="318">
        <v>1</v>
      </c>
      <c r="C18" s="319" t="s">
        <v>96</v>
      </c>
      <c r="D18" s="320" t="s">
        <v>97</v>
      </c>
      <c r="E18" s="320"/>
      <c r="F18" s="321"/>
      <c r="G18" s="322">
        <f>'（居民）工资表-8月'!E13</f>
        <v>43415.64</v>
      </c>
      <c r="H18" s="323"/>
      <c r="J18" s="363"/>
      <c r="K18" s="363"/>
      <c r="L18" s="363"/>
      <c r="M18" s="363"/>
    </row>
    <row r="19" s="261" customFormat="1" ht="16.5" spans="2:13">
      <c r="B19" s="318">
        <v>2</v>
      </c>
      <c r="C19" s="319"/>
      <c r="D19" s="324" t="s">
        <v>98</v>
      </c>
      <c r="E19" s="325" t="s">
        <v>99</v>
      </c>
      <c r="F19" s="321"/>
      <c r="G19" s="322"/>
      <c r="H19" s="326"/>
      <c r="J19" s="363"/>
      <c r="K19" s="363"/>
      <c r="L19" s="363"/>
      <c r="M19" s="363"/>
    </row>
    <row r="20" s="261" customFormat="1" ht="16.5" spans="2:13">
      <c r="B20" s="318">
        <v>3</v>
      </c>
      <c r="C20" s="319"/>
      <c r="D20" s="324" t="s">
        <v>100</v>
      </c>
      <c r="E20" s="325" t="s">
        <v>99</v>
      </c>
      <c r="F20" s="321"/>
      <c r="G20" s="322"/>
      <c r="H20" s="326"/>
      <c r="J20" s="363"/>
      <c r="K20" s="363"/>
      <c r="L20" s="363"/>
      <c r="M20" s="363"/>
    </row>
    <row r="21" s="261" customFormat="1" ht="16.5" spans="2:13">
      <c r="B21" s="318">
        <v>6</v>
      </c>
      <c r="C21" s="319"/>
      <c r="D21" s="327" t="s">
        <v>101</v>
      </c>
      <c r="E21" s="327"/>
      <c r="F21" s="321"/>
      <c r="G21" s="328">
        <f>G18+G19+G20</f>
        <v>43415.64</v>
      </c>
      <c r="H21" s="329"/>
      <c r="J21" s="363"/>
      <c r="K21" s="363"/>
      <c r="L21" s="363"/>
      <c r="M21" s="363"/>
    </row>
    <row r="22" s="261" customFormat="1" ht="16.5" spans="2:13">
      <c r="B22" s="318">
        <v>7</v>
      </c>
      <c r="C22" s="319" t="s">
        <v>102</v>
      </c>
      <c r="D22" s="327" t="s">
        <v>103</v>
      </c>
      <c r="E22" s="327"/>
      <c r="F22" s="321"/>
      <c r="G22" s="328"/>
      <c r="H22" s="323"/>
      <c r="J22" s="363"/>
      <c r="K22" s="363"/>
      <c r="L22" s="363"/>
      <c r="M22" s="363"/>
    </row>
    <row r="23" s="261" customFormat="1" ht="16.5" spans="2:13">
      <c r="B23" s="318">
        <v>8</v>
      </c>
      <c r="C23" s="330" t="s">
        <v>104</v>
      </c>
      <c r="D23" s="331">
        <v>0.056</v>
      </c>
      <c r="E23" s="331"/>
      <c r="F23" s="331"/>
      <c r="G23" s="328">
        <v>0</v>
      </c>
      <c r="H23" s="323"/>
      <c r="J23" s="363"/>
      <c r="K23" s="363"/>
      <c r="L23" s="363"/>
      <c r="M23" s="363"/>
    </row>
    <row r="24" s="261" customFormat="1" ht="16.5" spans="2:13">
      <c r="B24" s="318"/>
      <c r="C24" s="330" t="s">
        <v>105</v>
      </c>
      <c r="D24" s="331"/>
      <c r="E24" s="331"/>
      <c r="F24" s="331"/>
      <c r="G24" s="328"/>
      <c r="H24" s="323"/>
      <c r="J24" s="363"/>
      <c r="K24" s="363"/>
      <c r="L24" s="363"/>
      <c r="M24" s="363"/>
    </row>
    <row r="25" s="261" customFormat="1" ht="16.5" spans="2:8">
      <c r="B25" s="332" t="s">
        <v>106</v>
      </c>
      <c r="C25" s="333"/>
      <c r="D25" s="333"/>
      <c r="E25" s="333"/>
      <c r="F25" s="333"/>
      <c r="G25" s="334">
        <f>G21+G22+G23+J27-G24</f>
        <v>43415.64</v>
      </c>
      <c r="H25" s="335"/>
    </row>
    <row r="26" s="261" customFormat="1" ht="16" customHeight="1" spans="2:8">
      <c r="B26" s="336" t="s">
        <v>107</v>
      </c>
      <c r="C26" s="337"/>
      <c r="D26" s="337"/>
      <c r="E26" s="337"/>
      <c r="F26" s="337"/>
      <c r="G26" s="338">
        <f>G25</f>
        <v>43415.64</v>
      </c>
      <c r="H26" s="339"/>
    </row>
    <row r="27" s="261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5:F25"/>
    <mergeCell ref="B26:F26"/>
    <mergeCell ref="C18:C21"/>
    <mergeCell ref="J17:M23"/>
  </mergeCells>
  <conditionalFormatting sqref="G20:H20 C21:H21 F19:F22">
    <cfRule type="cellIs" dxfId="2" priority="2" stopIfTrue="1" operator="equal">
      <formula>"現金"</formula>
    </cfRule>
    <cfRule type="cellIs" dxfId="3" priority="1" stopIfTrue="1" operator="equal">
      <formula>"信用卡"</formula>
    </cfRule>
  </conditionalFormatting>
  <pageMargins left="0.75" right="0.75" top="1" bottom="1" header="0.5" footer="0.5"/>
  <pageSetup paperSize="9" scale="89" orientation="landscape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2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X4" sqref="X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519.9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252" t="s">
        <v>51</v>
      </c>
      <c r="D4" s="37" t="s">
        <v>52</v>
      </c>
      <c r="E4" s="253" t="s">
        <v>53</v>
      </c>
      <c r="F4" s="38" t="str">
        <f>IF(MOD(MID(E4,17,1),2)=1,"男","女")</f>
        <v>男</v>
      </c>
      <c r="G4" s="254">
        <v>18035163638</v>
      </c>
      <c r="H4" s="255"/>
      <c r="I4" s="255"/>
      <c r="J4" s="257"/>
      <c r="K4" s="255"/>
      <c r="L4" s="258">
        <v>10260</v>
      </c>
      <c r="M4" s="258">
        <v>264</v>
      </c>
      <c r="N4" s="258">
        <v>66</v>
      </c>
      <c r="O4" s="258">
        <v>9.9</v>
      </c>
      <c r="P4" s="258">
        <v>180</v>
      </c>
      <c r="Q4" s="89">
        <f>ROUND(SUM(M4:P4),2)</f>
        <v>519.9</v>
      </c>
      <c r="R4" s="70">
        <v>0</v>
      </c>
      <c r="S4" s="90">
        <f>L4+IFERROR(VLOOKUP($E:$E,'（居民）工资表-1月'!$E:$S,15,0),0)</f>
        <v>19760</v>
      </c>
      <c r="T4" s="91">
        <f>5000+IFERROR(VLOOKUP($E:$E,'（居民）工资表-1月'!$E:$T,16,0),0)</f>
        <v>10000</v>
      </c>
      <c r="U4" s="91">
        <f>Q4+IFERROR(VLOOKUP($E:$E,'（居民）工资表-1月'!$E:$U,17,0),0)</f>
        <v>1039.8</v>
      </c>
      <c r="V4" s="70"/>
      <c r="W4" s="70"/>
      <c r="X4" s="70">
        <v>2000</v>
      </c>
      <c r="Y4" s="70"/>
      <c r="Z4" s="70"/>
      <c r="AA4" s="70"/>
      <c r="AB4" s="90">
        <f>ROUND(SUM(V4:AA4),2)</f>
        <v>2000</v>
      </c>
      <c r="AC4" s="90">
        <f>R4+IFERROR(VLOOKUP($E:$E,'（居民）工资表-1月'!$E:$AC,25,0),0)</f>
        <v>0</v>
      </c>
      <c r="AD4" s="93">
        <f>ROUND(S4-T4-U4-AB4-AC4,2)</f>
        <v>6720.2</v>
      </c>
      <c r="AE4" s="94">
        <f>ROUND(MAX((AD4)*{0.03;0.1;0.2;0.25;0.3;0.35;0.45}-{0;2520;16920;31920;52920;85920;181920},0),2)</f>
        <v>201.61</v>
      </c>
      <c r="AF4" s="95">
        <f>IFERROR(VLOOKUP(E:E,'（居民）工资表-1月'!E:AF,28,0)+VLOOKUP(E:E,'（居民）工资表-1月'!E:AG,29,0),0)</f>
        <v>119.4</v>
      </c>
      <c r="AG4" s="95">
        <f>IF((AE4-AF4)&lt;0,0,AE4-AF4)</f>
        <v>82.21</v>
      </c>
      <c r="AH4" s="102">
        <f>ROUND(IF((L4-Q4-AG4)&lt;0,0,(L4-Q4-AG4)),2)</f>
        <v>9657.89</v>
      </c>
      <c r="AI4" s="103"/>
      <c r="AJ4" s="102">
        <f>AH4+AI4</f>
        <v>9657.89</v>
      </c>
      <c r="AK4" s="104"/>
      <c r="AL4" s="102">
        <f>AJ4+AG4+AK4</f>
        <v>9740.1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256" t="s">
        <v>57</v>
      </c>
      <c r="D5" s="37" t="s">
        <v>52</v>
      </c>
      <c r="E5" s="364" t="s">
        <v>58</v>
      </c>
      <c r="F5" s="38" t="str">
        <f>IF(MOD(MID(E5,17,1),2)=1,"男","女")</f>
        <v>女</v>
      </c>
      <c r="G5" s="254">
        <v>13926009696</v>
      </c>
      <c r="H5" s="255"/>
      <c r="I5" s="255"/>
      <c r="J5" s="257"/>
      <c r="K5" s="255"/>
      <c r="L5" s="258">
        <v>5800</v>
      </c>
      <c r="M5" s="258">
        <v>304.24</v>
      </c>
      <c r="N5" s="258">
        <v>123.5</v>
      </c>
      <c r="O5" s="258">
        <v>7.61</v>
      </c>
      <c r="P5" s="258">
        <v>0</v>
      </c>
      <c r="Q5" s="89">
        <f>ROUND(SUM(M5:P5),2)</f>
        <v>435.35</v>
      </c>
      <c r="R5" s="70">
        <v>0</v>
      </c>
      <c r="S5" s="90">
        <f>L5+IFERROR(VLOOKUP($E:$E,'（居民）工资表-1月'!$E:$S,15,0),0)</f>
        <v>11600</v>
      </c>
      <c r="T5" s="91">
        <f>5000+IFERROR(VLOOKUP($E:$E,'（居民）工资表-1月'!$E:$T,16,0),0)</f>
        <v>10000</v>
      </c>
      <c r="U5" s="91">
        <f>Q5+IFERROR(VLOOKUP($E:$E,'（居民）工资表-1月'!$E:$U,17,0),0)</f>
        <v>870.7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R5+IFERROR(VLOOKUP($E:$E,'（居民）工资表-1月'!$E:$AC,25,0),0)</f>
        <v>0</v>
      </c>
      <c r="AD5" s="93">
        <f>ROUND(S5-T5-U5-AB5-AC5,2)</f>
        <v>729.3</v>
      </c>
      <c r="AE5" s="94">
        <f>ROUND(MAX((AD5)*{0.03;0.1;0.2;0.25;0.3;0.35;0.45}-{0;2520;16920;31920;52920;85920;181920},0),2)</f>
        <v>21.88</v>
      </c>
      <c r="AF5" s="95">
        <f>IFERROR(VLOOKUP(E:E,'（居民）工资表-1月'!E:AF,28,0)+VLOOKUP(E:E,'（居民）工资表-1月'!E:AG,29,0),0)</f>
        <v>10.94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16060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31360</v>
      </c>
      <c r="T6" s="74">
        <f t="shared" si="0"/>
        <v>20000</v>
      </c>
      <c r="U6" s="74">
        <f t="shared" si="0"/>
        <v>1910.5</v>
      </c>
      <c r="V6" s="74">
        <f t="shared" si="0"/>
        <v>0</v>
      </c>
      <c r="W6" s="74">
        <f t="shared" si="0"/>
        <v>0</v>
      </c>
      <c r="X6" s="74">
        <f t="shared" si="0"/>
        <v>2000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2000</v>
      </c>
      <c r="AC6" s="74">
        <f t="shared" si="0"/>
        <v>0</v>
      </c>
      <c r="AD6" s="74">
        <f t="shared" si="0"/>
        <v>7449.5</v>
      </c>
      <c r="AE6" s="74">
        <f t="shared" si="0"/>
        <v>223.49</v>
      </c>
      <c r="AF6" s="74">
        <f t="shared" si="0"/>
        <v>130.34</v>
      </c>
      <c r="AG6" s="74">
        <f t="shared" si="0"/>
        <v>93.15</v>
      </c>
      <c r="AH6" s="74">
        <f t="shared" si="0"/>
        <v>15011.6</v>
      </c>
      <c r="AI6" s="105">
        <f t="shared" si="0"/>
        <v>0</v>
      </c>
      <c r="AJ6" s="74">
        <f t="shared" si="0"/>
        <v>15011.6</v>
      </c>
      <c r="AK6" s="74">
        <f t="shared" si="0"/>
        <v>0</v>
      </c>
      <c r="AL6" s="74">
        <f t="shared" si="0"/>
        <v>15104.75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15011.6</v>
      </c>
      <c r="C11" s="48">
        <f>AG6</f>
        <v>93.15</v>
      </c>
      <c r="D11" s="48">
        <f>AK6</f>
        <v>0</v>
      </c>
      <c r="E11" s="48">
        <f>B11+C11+D11</f>
        <v>15104.75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2" stopIfTrue="1"/>
  </conditionalFormatting>
  <conditionalFormatting sqref="B13:B17">
    <cfRule type="duplicateValues" dxfId="0" priority="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4" stopIfTrue="1"/>
    <cfRule type="expression" dxfId="1" priority="5" stopIfTrue="1">
      <formula>AND(COUNTIF($B$6:$B$65442,C10)+COUNTIF($B$1:$B$3,C10)&gt;1,NOT(ISBLANK(C10)))</formula>
    </cfRule>
    <cfRule type="expression" dxfId="1" priority="6" stopIfTrue="1">
      <formula>AND(COUNTIF($B$17:$B$65393,C10)+COUNTIF($B$1:$B$16,C10)&gt;1,NOT(ISBLANK(C10)))</formula>
    </cfRule>
    <cfRule type="expression" dxfId="1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252" t="s">
        <v>51</v>
      </c>
      <c r="D4" s="37" t="s">
        <v>52</v>
      </c>
      <c r="E4" s="253" t="s">
        <v>53</v>
      </c>
      <c r="F4" s="38" t="str">
        <f>IF(MOD(MID(E4,17,1),2)=1,"男","女")</f>
        <v>男</v>
      </c>
      <c r="G4" s="254">
        <v>18035163638</v>
      </c>
      <c r="H4" s="255"/>
      <c r="I4" s="255"/>
      <c r="J4" s="257"/>
      <c r="K4" s="255"/>
      <c r="L4" s="258">
        <v>7700</v>
      </c>
      <c r="M4" s="258">
        <v>264</v>
      </c>
      <c r="N4" s="258">
        <v>66</v>
      </c>
      <c r="O4" s="258">
        <v>9.9</v>
      </c>
      <c r="P4" s="258">
        <v>180</v>
      </c>
      <c r="Q4" s="89">
        <f>ROUND(SUM(M4:P4),2)</f>
        <v>519.9</v>
      </c>
      <c r="R4" s="70">
        <v>0</v>
      </c>
      <c r="S4" s="90">
        <f>L4+IFERROR(VLOOKUP($E:$E,'（居民）工资表-2月'!$E:$S,15,0),0)</f>
        <v>27460</v>
      </c>
      <c r="T4" s="91">
        <f>5000+IFERROR(VLOOKUP($E:$E,'（居民）工资表-2月'!$E:$T,16,0),0)</f>
        <v>15000</v>
      </c>
      <c r="U4" s="91">
        <f>Q4+IFERROR(VLOOKUP($E:$E,'（居民）工资表-2月'!$E:$U,17,0),0)</f>
        <v>1559.7</v>
      </c>
      <c r="V4" s="70"/>
      <c r="W4" s="70"/>
      <c r="X4" s="70">
        <v>3000</v>
      </c>
      <c r="Y4" s="70"/>
      <c r="Z4" s="70"/>
      <c r="AA4" s="70"/>
      <c r="AB4" s="90">
        <f>ROUND(SUM(V4:AA4),2)</f>
        <v>3000</v>
      </c>
      <c r="AC4" s="90">
        <f>R4+IFERROR(VLOOKUP($E:$E,'（居民）工资表-2月'!$E:$AC,25,0),0)</f>
        <v>0</v>
      </c>
      <c r="AD4" s="93">
        <f>ROUND(S4-T4-U4-AB4-AC4,2)</f>
        <v>7900.3</v>
      </c>
      <c r="AE4" s="94">
        <f>ROUND(MAX((AD4)*{0.03;0.1;0.2;0.25;0.3;0.35;0.45}-{0;2520;16920;31920;52920;85920;181920},0),2)</f>
        <v>237.01</v>
      </c>
      <c r="AF4" s="95">
        <f>IFERROR(VLOOKUP(E:E,'（居民）工资表-2月'!E:AF,28,0)+VLOOKUP(E:E,'（居民）工资表-2月'!E:AG,29,0),0)</f>
        <v>201.61</v>
      </c>
      <c r="AG4" s="95">
        <f>IF((AE4-AF4)&lt;0,0,AE4-AF4)</f>
        <v>35.4</v>
      </c>
      <c r="AH4" s="102">
        <f>ROUND(IF((L4-Q4-AG4)&lt;0,0,(L4-Q4-AG4)),2)</f>
        <v>7144.7</v>
      </c>
      <c r="AI4" s="103"/>
      <c r="AJ4" s="102">
        <f>AH4+AI4</f>
        <v>7144.7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256" t="s">
        <v>57</v>
      </c>
      <c r="D5" s="37" t="s">
        <v>52</v>
      </c>
      <c r="E5" s="364" t="s">
        <v>58</v>
      </c>
      <c r="F5" s="38" t="str">
        <f>IF(MOD(MID(E5,17,1),2)=1,"男","女")</f>
        <v>女</v>
      </c>
      <c r="G5" s="254">
        <v>13926009696</v>
      </c>
      <c r="H5" s="255"/>
      <c r="I5" s="255"/>
      <c r="J5" s="257"/>
      <c r="K5" s="255"/>
      <c r="L5" s="258">
        <v>5800</v>
      </c>
      <c r="M5" s="258">
        <v>304.24</v>
      </c>
      <c r="N5" s="258">
        <v>123.5</v>
      </c>
      <c r="O5" s="258">
        <v>7.61</v>
      </c>
      <c r="P5" s="258">
        <v>0</v>
      </c>
      <c r="Q5" s="89">
        <f>ROUND(SUM(M5:P5),2)</f>
        <v>435.35</v>
      </c>
      <c r="R5" s="70">
        <v>0</v>
      </c>
      <c r="S5" s="90">
        <f>L5+IFERROR(VLOOKUP($E:$E,'（居民）工资表-2月'!$E:$S,15,0),0)</f>
        <v>17400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1306.05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3">
        <f>ROUND(S5-T5-U5-AB5-AC5,2)</f>
        <v>1093.95</v>
      </c>
      <c r="AE5" s="94">
        <f>ROUND(MAX((AD5)*{0.03;0.1;0.2;0.25;0.3;0.35;0.45}-{0;2520;16920;31920;52920;85920;181920},0),2)</f>
        <v>32.82</v>
      </c>
      <c r="AF5" s="95">
        <f>IFERROR(VLOOKUP(E:E,'（居民）工资表-2月'!E:AF,28,0)+VLOOKUP(E:E,'（居民）工资表-2月'!E:AG,29,0),0)</f>
        <v>21.88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13500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44860</v>
      </c>
      <c r="T6" s="74">
        <f t="shared" si="0"/>
        <v>30000</v>
      </c>
      <c r="U6" s="74">
        <f t="shared" si="0"/>
        <v>2865.75</v>
      </c>
      <c r="V6" s="74">
        <f t="shared" si="0"/>
        <v>0</v>
      </c>
      <c r="W6" s="74">
        <f t="shared" si="0"/>
        <v>0</v>
      </c>
      <c r="X6" s="74">
        <f t="shared" si="0"/>
        <v>3000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3000</v>
      </c>
      <c r="AC6" s="74">
        <f t="shared" si="0"/>
        <v>0</v>
      </c>
      <c r="AD6" s="74">
        <f t="shared" si="0"/>
        <v>8994.25</v>
      </c>
      <c r="AE6" s="74">
        <f t="shared" si="0"/>
        <v>269.83</v>
      </c>
      <c r="AF6" s="74">
        <f t="shared" si="0"/>
        <v>223.49</v>
      </c>
      <c r="AG6" s="74">
        <f t="shared" si="0"/>
        <v>46.34</v>
      </c>
      <c r="AH6" s="74">
        <f t="shared" si="0"/>
        <v>12498.41</v>
      </c>
      <c r="AI6" s="105">
        <f t="shared" si="0"/>
        <v>0</v>
      </c>
      <c r="AJ6" s="74">
        <f t="shared" si="0"/>
        <v>12498.41</v>
      </c>
      <c r="AK6" s="74">
        <f t="shared" si="0"/>
        <v>0</v>
      </c>
      <c r="AL6" s="74">
        <f t="shared" si="0"/>
        <v>12544.75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12498.41</v>
      </c>
      <c r="C11" s="48">
        <f>AG6</f>
        <v>46.34</v>
      </c>
      <c r="D11" s="48">
        <f>AK6</f>
        <v>0</v>
      </c>
      <c r="E11" s="48">
        <f>B11+C11+D11</f>
        <v>12544.75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2" stopIfTrue="1"/>
  </conditionalFormatting>
  <conditionalFormatting sqref="B13:B17">
    <cfRule type="duplicateValues" dxfId="0" priority="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4" stopIfTrue="1"/>
    <cfRule type="expression" dxfId="1" priority="5" stopIfTrue="1">
      <formula>AND(COUNTIF($B$6:$B$65442,C10)+COUNTIF($B$1:$B$3,C10)&gt;1,NOT(ISBLANK(C10)))</formula>
    </cfRule>
    <cfRule type="expression" dxfId="1" priority="6" stopIfTrue="1">
      <formula>AND(COUNTIF($B$17:$B$65393,C10)+COUNTIF($B$1:$B$16,C10)&gt;1,NOT(ISBLANK(C10)))</formula>
    </cfRule>
    <cfRule type="expression" dxfId="1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workbookViewId="0">
      <selection activeCell="AK12" sqref="AK12"/>
    </sheetView>
  </sheetViews>
  <sheetFormatPr defaultColWidth="9" defaultRowHeight="16.5"/>
  <cols>
    <col min="1" max="1" width="5" style="160" customWidth="1"/>
    <col min="2" max="2" width="25" style="160" customWidth="1"/>
    <col min="3" max="3" width="7.375" style="160" customWidth="1"/>
    <col min="4" max="4" width="9.5" style="160" customWidth="1"/>
    <col min="5" max="5" width="8.25" style="160" customWidth="1"/>
    <col min="6" max="6" width="11.875" style="160" customWidth="1"/>
    <col min="7" max="7" width="16.375" style="160" customWidth="1"/>
    <col min="8" max="11" width="8.5" style="160" customWidth="1"/>
    <col min="12" max="12" width="9.125" style="160" customWidth="1"/>
    <col min="13" max="14" width="9.25" style="160" customWidth="1"/>
    <col min="15" max="15" width="7.5" style="160" customWidth="1"/>
    <col min="16" max="16" width="11.25" style="160" customWidth="1"/>
    <col min="17" max="17" width="9.125" style="160" customWidth="1"/>
    <col min="18" max="21" width="9.25" style="160" customWidth="1"/>
    <col min="22" max="22" width="9.125" style="160" customWidth="1"/>
    <col min="23" max="26" width="9.25" style="160" customWidth="1"/>
    <col min="27" max="28" width="9.125" style="160" customWidth="1"/>
    <col min="29" max="29" width="9" style="160" customWidth="1"/>
    <col min="30" max="30" width="9.125" style="160" customWidth="1"/>
    <col min="31" max="31" width="9.25" style="160" customWidth="1"/>
    <col min="32" max="32" width="8.875" style="160" customWidth="1"/>
    <col min="33" max="33" width="9.125" style="160" customWidth="1"/>
    <col min="34" max="34" width="9.25" style="160" customWidth="1"/>
    <col min="35" max="35" width="11.125" style="160" customWidth="1"/>
    <col min="36" max="36" width="9.25" style="160" customWidth="1"/>
    <col min="37" max="37" width="8.5" style="160" customWidth="1"/>
    <col min="38" max="38" width="9.125" style="160" hidden="1" customWidth="1"/>
    <col min="39" max="42" width="9.25" style="160" hidden="1" customWidth="1"/>
    <col min="43" max="43" width="9.875" style="160" customWidth="1"/>
    <col min="44" max="44" width="9.375" style="160" customWidth="1"/>
    <col min="45" max="45" width="10.25" style="166" customWidth="1"/>
    <col min="46" max="46" width="10" style="166" customWidth="1"/>
    <col min="47" max="49" width="9.25" style="166" customWidth="1"/>
    <col min="50" max="50" width="9.25" style="160" customWidth="1"/>
    <col min="51" max="51" width="5.875" style="160" customWidth="1"/>
    <col min="52" max="52" width="8.375" style="160" customWidth="1"/>
    <col min="53" max="53" width="5.875" style="160" customWidth="1"/>
    <col min="54" max="54" width="8.875" style="160" customWidth="1"/>
    <col min="55" max="55" width="10.875" style="160" customWidth="1"/>
    <col min="56" max="56" width="40.25" style="167" customWidth="1"/>
    <col min="57" max="57" width="10.625" style="160" customWidth="1"/>
    <col min="58" max="16384" width="9" style="160"/>
  </cols>
  <sheetData>
    <row r="1" s="159" customFormat="1" ht="22.5" customHeight="1" spans="1:56">
      <c r="A1" s="168" t="s">
        <v>2</v>
      </c>
      <c r="B1" s="169" t="s">
        <v>108</v>
      </c>
      <c r="C1" s="169" t="s">
        <v>109</v>
      </c>
      <c r="D1" s="168" t="s">
        <v>110</v>
      </c>
      <c r="E1" s="169" t="s">
        <v>111</v>
      </c>
      <c r="F1" s="169" t="s">
        <v>112</v>
      </c>
      <c r="G1" s="169" t="s">
        <v>113</v>
      </c>
      <c r="H1" s="169" t="s">
        <v>114</v>
      </c>
      <c r="I1" s="169" t="s">
        <v>115</v>
      </c>
      <c r="J1" s="169" t="s">
        <v>116</v>
      </c>
      <c r="K1" s="169" t="s">
        <v>117</v>
      </c>
      <c r="L1" s="202" t="s">
        <v>118</v>
      </c>
      <c r="M1" s="202"/>
      <c r="N1" s="202"/>
      <c r="O1" s="202"/>
      <c r="P1" s="202"/>
      <c r="Q1" s="202" t="s">
        <v>119</v>
      </c>
      <c r="R1" s="202"/>
      <c r="S1" s="202"/>
      <c r="T1" s="202"/>
      <c r="U1" s="202"/>
      <c r="V1" s="202" t="s">
        <v>120</v>
      </c>
      <c r="W1" s="202"/>
      <c r="X1" s="202"/>
      <c r="Y1" s="202"/>
      <c r="Z1" s="202"/>
      <c r="AA1" s="168" t="s">
        <v>121</v>
      </c>
      <c r="AB1" s="168"/>
      <c r="AC1" s="168"/>
      <c r="AD1" s="168" t="s">
        <v>122</v>
      </c>
      <c r="AE1" s="168"/>
      <c r="AF1" s="168"/>
      <c r="AG1" s="202" t="s">
        <v>123</v>
      </c>
      <c r="AH1" s="202"/>
      <c r="AI1" s="202"/>
      <c r="AJ1" s="202"/>
      <c r="AK1" s="202"/>
      <c r="AL1" s="168" t="s">
        <v>124</v>
      </c>
      <c r="AM1" s="168"/>
      <c r="AN1" s="168"/>
      <c r="AO1" s="168"/>
      <c r="AP1" s="168"/>
      <c r="AQ1" s="168" t="s">
        <v>125</v>
      </c>
      <c r="AR1" s="168"/>
      <c r="AS1" s="214" t="s">
        <v>126</v>
      </c>
      <c r="AT1" s="214"/>
      <c r="AU1" s="214"/>
      <c r="AV1" s="214"/>
      <c r="AW1" s="214"/>
      <c r="AX1" s="168" t="s">
        <v>127</v>
      </c>
      <c r="AY1" s="168"/>
      <c r="AZ1" s="168" t="s">
        <v>128</v>
      </c>
      <c r="BA1" s="168"/>
      <c r="BB1" s="168" t="s">
        <v>30</v>
      </c>
      <c r="BC1" s="168" t="s">
        <v>61</v>
      </c>
      <c r="BD1" s="227" t="s">
        <v>94</v>
      </c>
    </row>
    <row r="2" s="160" customFormat="1" ht="22.5" customHeight="1" spans="1:56">
      <c r="A2" s="168"/>
      <c r="B2" s="170"/>
      <c r="C2" s="169"/>
      <c r="D2" s="168"/>
      <c r="E2" s="169"/>
      <c r="F2" s="171"/>
      <c r="G2" s="171"/>
      <c r="H2" s="169"/>
      <c r="I2" s="169"/>
      <c r="J2" s="169"/>
      <c r="K2" s="169"/>
      <c r="L2" s="203" t="s">
        <v>129</v>
      </c>
      <c r="M2" s="203" t="s">
        <v>130</v>
      </c>
      <c r="N2" s="203" t="s">
        <v>131</v>
      </c>
      <c r="O2" s="203" t="s">
        <v>132</v>
      </c>
      <c r="P2" s="203" t="s">
        <v>133</v>
      </c>
      <c r="Q2" s="203" t="s">
        <v>129</v>
      </c>
      <c r="R2" s="203" t="s">
        <v>130</v>
      </c>
      <c r="S2" s="203" t="s">
        <v>131</v>
      </c>
      <c r="T2" s="203" t="s">
        <v>132</v>
      </c>
      <c r="U2" s="203" t="s">
        <v>133</v>
      </c>
      <c r="V2" s="203" t="s">
        <v>129</v>
      </c>
      <c r="W2" s="203" t="s">
        <v>130</v>
      </c>
      <c r="X2" s="203" t="s">
        <v>131</v>
      </c>
      <c r="Y2" s="203" t="s">
        <v>132</v>
      </c>
      <c r="Z2" s="203" t="s">
        <v>133</v>
      </c>
      <c r="AA2" s="203" t="s">
        <v>129</v>
      </c>
      <c r="AB2" s="203" t="s">
        <v>134</v>
      </c>
      <c r="AC2" s="203" t="s">
        <v>93</v>
      </c>
      <c r="AD2" s="203" t="s">
        <v>129</v>
      </c>
      <c r="AE2" s="203" t="s">
        <v>134</v>
      </c>
      <c r="AF2" s="203" t="s">
        <v>93</v>
      </c>
      <c r="AG2" s="203" t="s">
        <v>129</v>
      </c>
      <c r="AH2" s="203" t="s">
        <v>130</v>
      </c>
      <c r="AI2" s="203" t="s">
        <v>131</v>
      </c>
      <c r="AJ2" s="203" t="s">
        <v>132</v>
      </c>
      <c r="AK2" s="203" t="s">
        <v>133</v>
      </c>
      <c r="AL2" s="203" t="s">
        <v>129</v>
      </c>
      <c r="AM2" s="203" t="s">
        <v>130</v>
      </c>
      <c r="AN2" s="203" t="s">
        <v>131</v>
      </c>
      <c r="AO2" s="203" t="s">
        <v>132</v>
      </c>
      <c r="AP2" s="203" t="s">
        <v>133</v>
      </c>
      <c r="AQ2" s="203" t="s">
        <v>135</v>
      </c>
      <c r="AR2" s="203" t="s">
        <v>136</v>
      </c>
      <c r="AS2" s="215" t="s">
        <v>137</v>
      </c>
      <c r="AT2" s="215" t="s">
        <v>138</v>
      </c>
      <c r="AU2" s="215" t="s">
        <v>139</v>
      </c>
      <c r="AV2" s="215" t="s">
        <v>43</v>
      </c>
      <c r="AW2" s="215" t="s">
        <v>101</v>
      </c>
      <c r="AX2" s="168"/>
      <c r="AY2" s="168"/>
      <c r="AZ2" s="168"/>
      <c r="BA2" s="168"/>
      <c r="BB2" s="168"/>
      <c r="BC2" s="168"/>
      <c r="BD2" s="227"/>
    </row>
    <row r="3" s="161" customFormat="1" ht="18" customHeight="1" spans="1:60">
      <c r="A3" s="172">
        <v>1</v>
      </c>
      <c r="B3" s="142" t="s">
        <v>140</v>
      </c>
      <c r="C3" s="131" t="s">
        <v>141</v>
      </c>
      <c r="D3" s="141" t="s">
        <v>142</v>
      </c>
      <c r="E3" s="142" t="s">
        <v>143</v>
      </c>
      <c r="F3" s="143" t="s">
        <v>51</v>
      </c>
      <c r="G3" s="144" t="s">
        <v>53</v>
      </c>
      <c r="H3" s="141" t="s">
        <v>144</v>
      </c>
      <c r="I3" s="141" t="s">
        <v>144</v>
      </c>
      <c r="J3" s="141" t="s">
        <v>145</v>
      </c>
      <c r="K3" s="141" t="s">
        <v>145</v>
      </c>
      <c r="L3" s="172">
        <v>3300</v>
      </c>
      <c r="M3" s="172">
        <v>0.16</v>
      </c>
      <c r="N3" s="172">
        <f t="shared" ref="N3:N8" si="0">ROUND(L3*M3,2)</f>
        <v>528</v>
      </c>
      <c r="O3" s="172">
        <v>0.08</v>
      </c>
      <c r="P3" s="172">
        <f t="shared" ref="P3:P8" si="1">ROUND(L3*O3,2)</f>
        <v>264</v>
      </c>
      <c r="Q3" s="172">
        <v>3300</v>
      </c>
      <c r="R3" s="172">
        <v>0.08</v>
      </c>
      <c r="S3" s="172">
        <f t="shared" ref="S3:S8" si="2">ROUND(Q3*R3,2)</f>
        <v>264</v>
      </c>
      <c r="T3" s="172">
        <v>0.02</v>
      </c>
      <c r="U3" s="172">
        <f t="shared" ref="U3:U8" si="3">ROUND(Q3*T3,2)</f>
        <v>66</v>
      </c>
      <c r="V3" s="172">
        <v>3300</v>
      </c>
      <c r="W3" s="172">
        <v>0.007</v>
      </c>
      <c r="X3" s="172">
        <f t="shared" ref="X3:X8" si="4">ROUND(V3*W3,2)</f>
        <v>23.1</v>
      </c>
      <c r="Y3" s="172">
        <v>0.003</v>
      </c>
      <c r="Z3" s="172">
        <f t="shared" ref="Z3:Z8" si="5">ROUND(V3*Y3,2)</f>
        <v>9.9</v>
      </c>
      <c r="AA3" s="172"/>
      <c r="AB3" s="172"/>
      <c r="AC3" s="172"/>
      <c r="AD3" s="172">
        <v>3300</v>
      </c>
      <c r="AE3" s="172">
        <v>0.002</v>
      </c>
      <c r="AF3" s="172">
        <f t="shared" ref="AF3:AF15" si="6">ROUND(AD3*AE3,2)</f>
        <v>6.6</v>
      </c>
      <c r="AG3" s="172">
        <v>3000</v>
      </c>
      <c r="AH3" s="172">
        <v>0.1</v>
      </c>
      <c r="AI3" s="172">
        <f>ROUND(AG3*AH3,2)</f>
        <v>300</v>
      </c>
      <c r="AJ3" s="172">
        <v>0.06</v>
      </c>
      <c r="AK3" s="172">
        <f>ROUND(AG3*AJ3,2)</f>
        <v>180</v>
      </c>
      <c r="AL3" s="210"/>
      <c r="AM3" s="172"/>
      <c r="AN3" s="172"/>
      <c r="AO3" s="172"/>
      <c r="AP3" s="142" t="s">
        <v>146</v>
      </c>
      <c r="AQ3" s="216">
        <v>5</v>
      </c>
      <c r="AR3" s="172"/>
      <c r="AS3" s="217">
        <f t="shared" ref="AS3:AS15" si="7">N3+S3+X3+AC3+AF3+AN3+AQ3</f>
        <v>826.7</v>
      </c>
      <c r="AT3" s="217">
        <f t="shared" ref="AT3:AT15" si="8">P3+U3+Z3</f>
        <v>339.9</v>
      </c>
      <c r="AU3" s="217">
        <f t="shared" ref="AU3:AU15" si="9">AI3</f>
        <v>300</v>
      </c>
      <c r="AV3" s="217">
        <f t="shared" ref="AV3:AV15" si="10">AK3</f>
        <v>180</v>
      </c>
      <c r="AW3" s="217">
        <f t="shared" ref="AW3:AW15" si="11">AV3+AS3+AT3+AU3</f>
        <v>1646.6</v>
      </c>
      <c r="AX3" s="228">
        <f t="shared" ref="AX3:AX15" si="12">AS3+AT3</f>
        <v>1166.6</v>
      </c>
      <c r="AY3" s="228"/>
      <c r="AZ3" s="228">
        <f t="shared" ref="AZ3:AZ8" si="13">AU3+AV3</f>
        <v>480</v>
      </c>
      <c r="BA3" s="228"/>
      <c r="BB3" s="229">
        <v>80</v>
      </c>
      <c r="BC3" s="228">
        <f t="shared" ref="BC3:BC15" si="14">AX3+AZ3+BB3</f>
        <v>1726.6</v>
      </c>
      <c r="BD3" s="230"/>
      <c r="BE3" s="247"/>
      <c r="BF3" s="248"/>
      <c r="BG3" s="248"/>
      <c r="BH3" s="249" t="s">
        <v>146</v>
      </c>
    </row>
    <row r="4" s="161" customFormat="1" ht="18" customHeight="1" spans="1:60">
      <c r="A4" s="172"/>
      <c r="B4" s="142" t="s">
        <v>140</v>
      </c>
      <c r="C4" s="131" t="s">
        <v>141</v>
      </c>
      <c r="D4" s="141" t="s">
        <v>142</v>
      </c>
      <c r="E4" s="142" t="s">
        <v>143</v>
      </c>
      <c r="F4" s="143" t="s">
        <v>51</v>
      </c>
      <c r="G4" s="144" t="s">
        <v>53</v>
      </c>
      <c r="H4" s="141" t="s">
        <v>144</v>
      </c>
      <c r="I4" s="141" t="s">
        <v>144</v>
      </c>
      <c r="J4" s="141" t="s">
        <v>147</v>
      </c>
      <c r="K4" s="141" t="s">
        <v>147</v>
      </c>
      <c r="L4" s="172">
        <v>3300</v>
      </c>
      <c r="M4" s="172">
        <v>0.16</v>
      </c>
      <c r="N4" s="172">
        <f t="shared" si="0"/>
        <v>528</v>
      </c>
      <c r="O4" s="172">
        <v>0.08</v>
      </c>
      <c r="P4" s="172">
        <f t="shared" si="1"/>
        <v>264</v>
      </c>
      <c r="Q4" s="172">
        <v>3300</v>
      </c>
      <c r="R4" s="172">
        <v>0.08</v>
      </c>
      <c r="S4" s="172">
        <f t="shared" si="2"/>
        <v>264</v>
      </c>
      <c r="T4" s="172">
        <v>0.02</v>
      </c>
      <c r="U4" s="172">
        <f t="shared" si="3"/>
        <v>66</v>
      </c>
      <c r="V4" s="172">
        <v>3300</v>
      </c>
      <c r="W4" s="172">
        <v>0.007</v>
      </c>
      <c r="X4" s="172">
        <f t="shared" si="4"/>
        <v>23.1</v>
      </c>
      <c r="Y4" s="172">
        <v>0.003</v>
      </c>
      <c r="Z4" s="172">
        <f t="shared" si="5"/>
        <v>9.9</v>
      </c>
      <c r="AA4" s="172"/>
      <c r="AB4" s="172"/>
      <c r="AC4" s="172"/>
      <c r="AD4" s="172">
        <v>3300</v>
      </c>
      <c r="AE4" s="172">
        <v>0.002</v>
      </c>
      <c r="AF4" s="172">
        <f t="shared" si="6"/>
        <v>6.6</v>
      </c>
      <c r="AG4" s="172">
        <v>3000</v>
      </c>
      <c r="AH4" s="172">
        <v>0.1</v>
      </c>
      <c r="AI4" s="172">
        <f>ROUND(AG4*AH4,2)</f>
        <v>300</v>
      </c>
      <c r="AJ4" s="172">
        <v>0.06</v>
      </c>
      <c r="AK4" s="172">
        <f>ROUND(AG4*AJ4,2)</f>
        <v>180</v>
      </c>
      <c r="AL4" s="210"/>
      <c r="AM4" s="172"/>
      <c r="AN4" s="172"/>
      <c r="AO4" s="172"/>
      <c r="AP4" s="142" t="s">
        <v>146</v>
      </c>
      <c r="AQ4" s="216">
        <v>5</v>
      </c>
      <c r="AR4" s="172"/>
      <c r="AS4" s="217">
        <f t="shared" si="7"/>
        <v>826.7</v>
      </c>
      <c r="AT4" s="217">
        <f t="shared" si="8"/>
        <v>339.9</v>
      </c>
      <c r="AU4" s="217">
        <f t="shared" si="9"/>
        <v>300</v>
      </c>
      <c r="AV4" s="217">
        <f t="shared" si="10"/>
        <v>180</v>
      </c>
      <c r="AW4" s="217">
        <f t="shared" si="11"/>
        <v>1646.6</v>
      </c>
      <c r="AX4" s="228">
        <f t="shared" si="12"/>
        <v>1166.6</v>
      </c>
      <c r="AY4" s="228"/>
      <c r="AZ4" s="228">
        <f t="shared" si="13"/>
        <v>480</v>
      </c>
      <c r="BA4" s="228"/>
      <c r="BB4" s="229">
        <v>80</v>
      </c>
      <c r="BC4" s="228">
        <f t="shared" si="14"/>
        <v>1726.6</v>
      </c>
      <c r="BD4" s="230"/>
      <c r="BE4" s="247"/>
      <c r="BF4" s="248"/>
      <c r="BG4" s="248"/>
      <c r="BH4" s="249" t="s">
        <v>146</v>
      </c>
    </row>
    <row r="5" s="161" customFormat="1" ht="18" customHeight="1" spans="1:60">
      <c r="A5" s="172"/>
      <c r="B5" s="142" t="s">
        <v>140</v>
      </c>
      <c r="C5" s="131" t="s">
        <v>141</v>
      </c>
      <c r="D5" s="141" t="s">
        <v>142</v>
      </c>
      <c r="E5" s="142" t="s">
        <v>143</v>
      </c>
      <c r="F5" s="143" t="s">
        <v>51</v>
      </c>
      <c r="G5" s="144" t="s">
        <v>53</v>
      </c>
      <c r="H5" s="141" t="s">
        <v>144</v>
      </c>
      <c r="I5" s="141" t="s">
        <v>144</v>
      </c>
      <c r="J5" s="141" t="s">
        <v>148</v>
      </c>
      <c r="K5" s="141" t="s">
        <v>148</v>
      </c>
      <c r="L5" s="172">
        <v>3300</v>
      </c>
      <c r="M5" s="172">
        <v>0.16</v>
      </c>
      <c r="N5" s="172">
        <f t="shared" si="0"/>
        <v>528</v>
      </c>
      <c r="O5" s="172">
        <v>0.08</v>
      </c>
      <c r="P5" s="172">
        <f t="shared" si="1"/>
        <v>264</v>
      </c>
      <c r="Q5" s="172">
        <v>3300</v>
      </c>
      <c r="R5" s="172">
        <v>0.08</v>
      </c>
      <c r="S5" s="172">
        <f t="shared" si="2"/>
        <v>264</v>
      </c>
      <c r="T5" s="172">
        <v>0.02</v>
      </c>
      <c r="U5" s="172">
        <f t="shared" si="3"/>
        <v>66</v>
      </c>
      <c r="V5" s="172">
        <v>3300</v>
      </c>
      <c r="W5" s="172">
        <v>0.007</v>
      </c>
      <c r="X5" s="172">
        <f t="shared" si="4"/>
        <v>23.1</v>
      </c>
      <c r="Y5" s="172">
        <v>0.003</v>
      </c>
      <c r="Z5" s="172">
        <f t="shared" si="5"/>
        <v>9.9</v>
      </c>
      <c r="AA5" s="172"/>
      <c r="AB5" s="172"/>
      <c r="AC5" s="172"/>
      <c r="AD5" s="172">
        <v>3300</v>
      </c>
      <c r="AE5" s="172">
        <v>0.002</v>
      </c>
      <c r="AF5" s="172">
        <f t="shared" si="6"/>
        <v>6.6</v>
      </c>
      <c r="AG5" s="172">
        <v>3000</v>
      </c>
      <c r="AH5" s="172">
        <v>0.1</v>
      </c>
      <c r="AI5" s="172">
        <f>ROUND(AG5*AH5,2)</f>
        <v>300</v>
      </c>
      <c r="AJ5" s="172">
        <v>0.06</v>
      </c>
      <c r="AK5" s="172">
        <f>ROUND(AG5*AJ5,2)</f>
        <v>180</v>
      </c>
      <c r="AL5" s="210"/>
      <c r="AM5" s="172"/>
      <c r="AN5" s="172"/>
      <c r="AO5" s="172"/>
      <c r="AP5" s="142" t="s">
        <v>146</v>
      </c>
      <c r="AQ5" s="216">
        <v>5</v>
      </c>
      <c r="AR5" s="172"/>
      <c r="AS5" s="217">
        <f t="shared" si="7"/>
        <v>826.7</v>
      </c>
      <c r="AT5" s="217">
        <f t="shared" si="8"/>
        <v>339.9</v>
      </c>
      <c r="AU5" s="217">
        <f t="shared" si="9"/>
        <v>300</v>
      </c>
      <c r="AV5" s="217">
        <f t="shared" si="10"/>
        <v>180</v>
      </c>
      <c r="AW5" s="217">
        <f t="shared" si="11"/>
        <v>1646.6</v>
      </c>
      <c r="AX5" s="228">
        <f t="shared" si="12"/>
        <v>1166.6</v>
      </c>
      <c r="AY5" s="228"/>
      <c r="AZ5" s="228">
        <f t="shared" si="13"/>
        <v>480</v>
      </c>
      <c r="BA5" s="228"/>
      <c r="BB5" s="229">
        <v>80</v>
      </c>
      <c r="BC5" s="228">
        <f t="shared" si="14"/>
        <v>1726.6</v>
      </c>
      <c r="BD5" s="230"/>
      <c r="BE5" s="247"/>
      <c r="BF5" s="248"/>
      <c r="BG5" s="248"/>
      <c r="BH5" s="249" t="s">
        <v>146</v>
      </c>
    </row>
    <row r="6" s="161" customFormat="1" ht="18" customHeight="1" spans="1:60">
      <c r="A6" s="172">
        <v>2</v>
      </c>
      <c r="B6" s="142" t="s">
        <v>140</v>
      </c>
      <c r="C6" s="131" t="s">
        <v>149</v>
      </c>
      <c r="D6" s="141" t="s">
        <v>142</v>
      </c>
      <c r="E6" s="142" t="s">
        <v>150</v>
      </c>
      <c r="F6" s="143" t="s">
        <v>57</v>
      </c>
      <c r="G6" s="365" t="s">
        <v>58</v>
      </c>
      <c r="H6" s="141" t="s">
        <v>144</v>
      </c>
      <c r="I6" s="141" t="s">
        <v>151</v>
      </c>
      <c r="J6" s="141" t="s">
        <v>145</v>
      </c>
      <c r="K6" s="141" t="s">
        <v>151</v>
      </c>
      <c r="L6" s="172">
        <v>3803</v>
      </c>
      <c r="M6" s="172">
        <v>0.14</v>
      </c>
      <c r="N6" s="172">
        <f t="shared" si="0"/>
        <v>532.42</v>
      </c>
      <c r="O6" s="172">
        <v>0.08</v>
      </c>
      <c r="P6" s="172">
        <f t="shared" si="1"/>
        <v>304.24</v>
      </c>
      <c r="Q6" s="172">
        <v>6175</v>
      </c>
      <c r="R6" s="172">
        <v>0.055</v>
      </c>
      <c r="S6" s="172">
        <f t="shared" si="2"/>
        <v>339.63</v>
      </c>
      <c r="T6" s="172">
        <v>0.02</v>
      </c>
      <c r="U6" s="172">
        <f t="shared" si="3"/>
        <v>123.5</v>
      </c>
      <c r="V6" s="172">
        <v>3803</v>
      </c>
      <c r="W6" s="172">
        <v>0.0032</v>
      </c>
      <c r="X6" s="172">
        <f t="shared" si="4"/>
        <v>12.17</v>
      </c>
      <c r="Y6" s="172">
        <v>0.002</v>
      </c>
      <c r="Z6" s="172">
        <f t="shared" si="5"/>
        <v>7.61</v>
      </c>
      <c r="AA6" s="172">
        <v>6175</v>
      </c>
      <c r="AB6" s="172">
        <v>0.0085</v>
      </c>
      <c r="AC6" s="172">
        <f t="shared" ref="AC6:AC8" si="15">ROUND(AA6*AB6,2)</f>
        <v>52.49</v>
      </c>
      <c r="AD6" s="172">
        <v>3803</v>
      </c>
      <c r="AE6" s="172">
        <v>0.0016</v>
      </c>
      <c r="AF6" s="172">
        <f t="shared" si="6"/>
        <v>6.08</v>
      </c>
      <c r="AG6" s="172"/>
      <c r="AH6" s="172"/>
      <c r="AI6" s="172"/>
      <c r="AJ6" s="172"/>
      <c r="AK6" s="172"/>
      <c r="AL6" s="210"/>
      <c r="AM6" s="172"/>
      <c r="AN6" s="172"/>
      <c r="AO6" s="172"/>
      <c r="AP6" s="142"/>
      <c r="AQ6" s="216">
        <v>26.76</v>
      </c>
      <c r="AR6" s="172"/>
      <c r="AS6" s="217">
        <f t="shared" si="7"/>
        <v>969.55</v>
      </c>
      <c r="AT6" s="217">
        <f t="shared" si="8"/>
        <v>435.35</v>
      </c>
      <c r="AU6" s="217">
        <f t="shared" si="9"/>
        <v>0</v>
      </c>
      <c r="AV6" s="217">
        <f t="shared" si="10"/>
        <v>0</v>
      </c>
      <c r="AW6" s="217">
        <f t="shared" si="11"/>
        <v>1404.9</v>
      </c>
      <c r="AX6" s="228">
        <f t="shared" si="12"/>
        <v>1404.9</v>
      </c>
      <c r="AY6" s="228"/>
      <c r="AZ6" s="228">
        <f t="shared" si="13"/>
        <v>0</v>
      </c>
      <c r="BA6" s="228"/>
      <c r="BB6" s="229">
        <v>80</v>
      </c>
      <c r="BC6" s="228">
        <f t="shared" si="14"/>
        <v>1484.9</v>
      </c>
      <c r="BD6" s="230"/>
      <c r="BE6" s="250"/>
      <c r="BF6" s="250"/>
      <c r="BG6" s="250"/>
      <c r="BH6" s="250"/>
    </row>
    <row r="7" s="161" customFormat="1" ht="18" customHeight="1" spans="1:60">
      <c r="A7" s="172"/>
      <c r="B7" s="142" t="s">
        <v>140</v>
      </c>
      <c r="C7" s="131" t="s">
        <v>149</v>
      </c>
      <c r="D7" s="141" t="s">
        <v>142</v>
      </c>
      <c r="E7" s="142" t="s">
        <v>150</v>
      </c>
      <c r="F7" s="143" t="s">
        <v>57</v>
      </c>
      <c r="G7" s="365" t="s">
        <v>58</v>
      </c>
      <c r="H7" s="141" t="s">
        <v>144</v>
      </c>
      <c r="I7" s="141" t="s">
        <v>151</v>
      </c>
      <c r="J7" s="141" t="s">
        <v>147</v>
      </c>
      <c r="K7" s="141" t="s">
        <v>151</v>
      </c>
      <c r="L7" s="172">
        <v>3803</v>
      </c>
      <c r="M7" s="172">
        <v>0.14</v>
      </c>
      <c r="N7" s="172">
        <f t="shared" si="0"/>
        <v>532.42</v>
      </c>
      <c r="O7" s="172">
        <v>0.08</v>
      </c>
      <c r="P7" s="172">
        <f t="shared" si="1"/>
        <v>304.24</v>
      </c>
      <c r="Q7" s="172">
        <v>6175</v>
      </c>
      <c r="R7" s="172">
        <v>0.055</v>
      </c>
      <c r="S7" s="172">
        <f t="shared" si="2"/>
        <v>339.63</v>
      </c>
      <c r="T7" s="172">
        <v>0.02</v>
      </c>
      <c r="U7" s="172">
        <f t="shared" si="3"/>
        <v>123.5</v>
      </c>
      <c r="V7" s="172">
        <v>3803</v>
      </c>
      <c r="W7" s="172">
        <v>0.0032</v>
      </c>
      <c r="X7" s="172">
        <f t="shared" si="4"/>
        <v>12.17</v>
      </c>
      <c r="Y7" s="172">
        <v>0.002</v>
      </c>
      <c r="Z7" s="172">
        <f t="shared" si="5"/>
        <v>7.61</v>
      </c>
      <c r="AA7" s="172">
        <v>6175</v>
      </c>
      <c r="AB7" s="172">
        <v>0.0085</v>
      </c>
      <c r="AC7" s="172">
        <f t="shared" si="15"/>
        <v>52.49</v>
      </c>
      <c r="AD7" s="172">
        <v>3803</v>
      </c>
      <c r="AE7" s="172">
        <v>0.0016</v>
      </c>
      <c r="AF7" s="172">
        <f t="shared" si="6"/>
        <v>6.08</v>
      </c>
      <c r="AG7" s="172"/>
      <c r="AH7" s="172"/>
      <c r="AI7" s="172"/>
      <c r="AJ7" s="172"/>
      <c r="AK7" s="172"/>
      <c r="AL7" s="210"/>
      <c r="AM7" s="172"/>
      <c r="AN7" s="172"/>
      <c r="AO7" s="172"/>
      <c r="AP7" s="142"/>
      <c r="AQ7" s="216">
        <v>26.76</v>
      </c>
      <c r="AR7" s="172"/>
      <c r="AS7" s="217">
        <f t="shared" si="7"/>
        <v>969.55</v>
      </c>
      <c r="AT7" s="217">
        <f t="shared" si="8"/>
        <v>435.35</v>
      </c>
      <c r="AU7" s="217">
        <f t="shared" si="9"/>
        <v>0</v>
      </c>
      <c r="AV7" s="217">
        <f t="shared" si="10"/>
        <v>0</v>
      </c>
      <c r="AW7" s="217">
        <f t="shared" si="11"/>
        <v>1404.9</v>
      </c>
      <c r="AX7" s="228">
        <f t="shared" si="12"/>
        <v>1404.9</v>
      </c>
      <c r="AY7" s="228"/>
      <c r="AZ7" s="228">
        <f t="shared" si="13"/>
        <v>0</v>
      </c>
      <c r="BA7" s="228"/>
      <c r="BB7" s="229">
        <v>80</v>
      </c>
      <c r="BC7" s="228">
        <f t="shared" si="14"/>
        <v>1484.9</v>
      </c>
      <c r="BD7" s="230"/>
      <c r="BE7" s="250"/>
      <c r="BF7" s="250"/>
      <c r="BG7" s="250"/>
      <c r="BH7" s="250"/>
    </row>
    <row r="8" s="161" customFormat="1" ht="18" customHeight="1" spans="1:60">
      <c r="A8" s="172"/>
      <c r="B8" s="142" t="s">
        <v>140</v>
      </c>
      <c r="C8" s="131" t="s">
        <v>149</v>
      </c>
      <c r="D8" s="141" t="s">
        <v>142</v>
      </c>
      <c r="E8" s="142" t="s">
        <v>150</v>
      </c>
      <c r="F8" s="143" t="s">
        <v>57</v>
      </c>
      <c r="G8" s="365" t="s">
        <v>58</v>
      </c>
      <c r="H8" s="141" t="s">
        <v>144</v>
      </c>
      <c r="I8" s="141" t="s">
        <v>151</v>
      </c>
      <c r="J8" s="141" t="s">
        <v>148</v>
      </c>
      <c r="K8" s="141" t="s">
        <v>151</v>
      </c>
      <c r="L8" s="172">
        <v>3803</v>
      </c>
      <c r="M8" s="172">
        <v>0.14</v>
      </c>
      <c r="N8" s="172">
        <f t="shared" si="0"/>
        <v>532.42</v>
      </c>
      <c r="O8" s="172">
        <v>0.08</v>
      </c>
      <c r="P8" s="172">
        <f t="shared" si="1"/>
        <v>304.24</v>
      </c>
      <c r="Q8" s="172">
        <v>6175</v>
      </c>
      <c r="R8" s="172">
        <v>0.055</v>
      </c>
      <c r="S8" s="172">
        <f t="shared" si="2"/>
        <v>339.63</v>
      </c>
      <c r="T8" s="172">
        <v>0.02</v>
      </c>
      <c r="U8" s="172">
        <f t="shared" si="3"/>
        <v>123.5</v>
      </c>
      <c r="V8" s="172">
        <v>3803</v>
      </c>
      <c r="W8" s="172">
        <v>0.0032</v>
      </c>
      <c r="X8" s="172">
        <f t="shared" si="4"/>
        <v>12.17</v>
      </c>
      <c r="Y8" s="172">
        <v>0.002</v>
      </c>
      <c r="Z8" s="172">
        <f t="shared" si="5"/>
        <v>7.61</v>
      </c>
      <c r="AA8" s="172">
        <v>6175</v>
      </c>
      <c r="AB8" s="172">
        <v>0.0085</v>
      </c>
      <c r="AC8" s="172">
        <f t="shared" si="15"/>
        <v>52.49</v>
      </c>
      <c r="AD8" s="172">
        <v>3803</v>
      </c>
      <c r="AE8" s="172">
        <v>0.0016</v>
      </c>
      <c r="AF8" s="172">
        <f t="shared" si="6"/>
        <v>6.08</v>
      </c>
      <c r="AG8" s="172"/>
      <c r="AH8" s="172"/>
      <c r="AI8" s="172"/>
      <c r="AJ8" s="172"/>
      <c r="AK8" s="172"/>
      <c r="AL8" s="210"/>
      <c r="AM8" s="172"/>
      <c r="AN8" s="172"/>
      <c r="AO8" s="172"/>
      <c r="AP8" s="142"/>
      <c r="AQ8" s="216">
        <v>26.76</v>
      </c>
      <c r="AR8" s="172"/>
      <c r="AS8" s="217">
        <f t="shared" si="7"/>
        <v>969.55</v>
      </c>
      <c r="AT8" s="217">
        <f t="shared" si="8"/>
        <v>435.35</v>
      </c>
      <c r="AU8" s="217">
        <f t="shared" si="9"/>
        <v>0</v>
      </c>
      <c r="AV8" s="217">
        <f t="shared" si="10"/>
        <v>0</v>
      </c>
      <c r="AW8" s="217">
        <f t="shared" si="11"/>
        <v>1404.9</v>
      </c>
      <c r="AX8" s="228">
        <f t="shared" si="12"/>
        <v>1404.9</v>
      </c>
      <c r="AY8" s="228"/>
      <c r="AZ8" s="228">
        <f t="shared" si="13"/>
        <v>0</v>
      </c>
      <c r="BA8" s="228"/>
      <c r="BB8" s="229">
        <v>80</v>
      </c>
      <c r="BC8" s="228">
        <f t="shared" si="14"/>
        <v>1484.9</v>
      </c>
      <c r="BD8" s="230"/>
      <c r="BE8" s="250"/>
      <c r="BF8" s="250"/>
      <c r="BG8" s="250"/>
      <c r="BH8" s="250"/>
    </row>
    <row r="9" s="162" customFormat="1" ht="18" customHeight="1" spans="1:60">
      <c r="A9" s="173" t="s">
        <v>152</v>
      </c>
      <c r="B9" s="174" t="s">
        <v>140</v>
      </c>
      <c r="C9" s="126" t="s">
        <v>149</v>
      </c>
      <c r="D9" s="175" t="s">
        <v>142</v>
      </c>
      <c r="E9" s="174" t="s">
        <v>150</v>
      </c>
      <c r="F9" s="176" t="s">
        <v>57</v>
      </c>
      <c r="G9" s="366" t="s">
        <v>58</v>
      </c>
      <c r="H9" s="175" t="s">
        <v>144</v>
      </c>
      <c r="I9" s="175" t="s">
        <v>151</v>
      </c>
      <c r="J9" s="175" t="s">
        <v>153</v>
      </c>
      <c r="K9" s="175" t="s">
        <v>151</v>
      </c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260">
        <f t="shared" ref="AD9:AD11" si="16">3803-3000</f>
        <v>803</v>
      </c>
      <c r="AE9" s="260">
        <v>0.0016</v>
      </c>
      <c r="AF9" s="260">
        <f t="shared" si="6"/>
        <v>1.28</v>
      </c>
      <c r="AG9" s="173"/>
      <c r="AH9" s="173"/>
      <c r="AI9" s="173"/>
      <c r="AJ9" s="173"/>
      <c r="AK9" s="173"/>
      <c r="AL9" s="211"/>
      <c r="AM9" s="173"/>
      <c r="AN9" s="173"/>
      <c r="AO9" s="173"/>
      <c r="AP9" s="174"/>
      <c r="AQ9" s="218"/>
      <c r="AR9" s="173"/>
      <c r="AS9" s="219">
        <f t="shared" si="7"/>
        <v>1.28</v>
      </c>
      <c r="AT9" s="219">
        <f t="shared" si="8"/>
        <v>0</v>
      </c>
      <c r="AU9" s="219">
        <f t="shared" si="9"/>
        <v>0</v>
      </c>
      <c r="AV9" s="219">
        <f t="shared" si="10"/>
        <v>0</v>
      </c>
      <c r="AW9" s="219">
        <f t="shared" si="11"/>
        <v>1.28</v>
      </c>
      <c r="AX9" s="231">
        <f t="shared" si="12"/>
        <v>1.28</v>
      </c>
      <c r="AY9" s="231"/>
      <c r="AZ9" s="231"/>
      <c r="BA9" s="231"/>
      <c r="BB9" s="232"/>
      <c r="BC9" s="231">
        <f t="shared" si="14"/>
        <v>1.28</v>
      </c>
      <c r="BD9" s="233" t="s">
        <v>154</v>
      </c>
      <c r="BE9" s="251"/>
      <c r="BF9" s="251"/>
      <c r="BG9" s="251"/>
      <c r="BH9" s="251"/>
    </row>
    <row r="10" s="162" customFormat="1" ht="18" customHeight="1" spans="1:60">
      <c r="A10" s="173" t="s">
        <v>152</v>
      </c>
      <c r="B10" s="174" t="s">
        <v>140</v>
      </c>
      <c r="C10" s="126" t="s">
        <v>149</v>
      </c>
      <c r="D10" s="175" t="s">
        <v>142</v>
      </c>
      <c r="E10" s="174" t="s">
        <v>150</v>
      </c>
      <c r="F10" s="176" t="s">
        <v>57</v>
      </c>
      <c r="G10" s="366" t="s">
        <v>58</v>
      </c>
      <c r="H10" s="175" t="s">
        <v>144</v>
      </c>
      <c r="I10" s="175" t="s">
        <v>151</v>
      </c>
      <c r="J10" s="175" t="s">
        <v>155</v>
      </c>
      <c r="K10" s="175" t="s">
        <v>151</v>
      </c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260">
        <f t="shared" si="16"/>
        <v>803</v>
      </c>
      <c r="AE10" s="260">
        <v>0.0016</v>
      </c>
      <c r="AF10" s="260">
        <f t="shared" si="6"/>
        <v>1.28</v>
      </c>
      <c r="AG10" s="173"/>
      <c r="AH10" s="173"/>
      <c r="AI10" s="173"/>
      <c r="AJ10" s="173"/>
      <c r="AK10" s="173"/>
      <c r="AL10" s="211"/>
      <c r="AM10" s="173"/>
      <c r="AN10" s="173"/>
      <c r="AO10" s="173"/>
      <c r="AP10" s="174"/>
      <c r="AQ10" s="218"/>
      <c r="AR10" s="173"/>
      <c r="AS10" s="219">
        <f t="shared" si="7"/>
        <v>1.28</v>
      </c>
      <c r="AT10" s="219">
        <f t="shared" si="8"/>
        <v>0</v>
      </c>
      <c r="AU10" s="219">
        <f t="shared" si="9"/>
        <v>0</v>
      </c>
      <c r="AV10" s="219">
        <f t="shared" si="10"/>
        <v>0</v>
      </c>
      <c r="AW10" s="219">
        <f t="shared" si="11"/>
        <v>1.28</v>
      </c>
      <c r="AX10" s="231">
        <f t="shared" si="12"/>
        <v>1.28</v>
      </c>
      <c r="AY10" s="231"/>
      <c r="AZ10" s="231"/>
      <c r="BA10" s="231"/>
      <c r="BB10" s="232"/>
      <c r="BC10" s="231">
        <f t="shared" si="14"/>
        <v>1.28</v>
      </c>
      <c r="BD10" s="233" t="s">
        <v>154</v>
      </c>
      <c r="BE10" s="251"/>
      <c r="BF10" s="251"/>
      <c r="BG10" s="251"/>
      <c r="BH10" s="251"/>
    </row>
    <row r="11" s="162" customFormat="1" ht="18" customHeight="1" spans="1:60">
      <c r="A11" s="173" t="s">
        <v>152</v>
      </c>
      <c r="B11" s="174" t="s">
        <v>140</v>
      </c>
      <c r="C11" s="126" t="s">
        <v>149</v>
      </c>
      <c r="D11" s="175" t="s">
        <v>142</v>
      </c>
      <c r="E11" s="174" t="s">
        <v>150</v>
      </c>
      <c r="F11" s="176" t="s">
        <v>57</v>
      </c>
      <c r="G11" s="366" t="s">
        <v>58</v>
      </c>
      <c r="H11" s="175" t="s">
        <v>144</v>
      </c>
      <c r="I11" s="175" t="s">
        <v>151</v>
      </c>
      <c r="J11" s="175" t="s">
        <v>156</v>
      </c>
      <c r="K11" s="175" t="s">
        <v>151</v>
      </c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260">
        <f t="shared" si="16"/>
        <v>803</v>
      </c>
      <c r="AE11" s="260">
        <v>0.0016</v>
      </c>
      <c r="AF11" s="260">
        <f t="shared" si="6"/>
        <v>1.28</v>
      </c>
      <c r="AG11" s="173"/>
      <c r="AH11" s="173"/>
      <c r="AI11" s="173"/>
      <c r="AJ11" s="173"/>
      <c r="AK11" s="173"/>
      <c r="AL11" s="211"/>
      <c r="AM11" s="173"/>
      <c r="AN11" s="173"/>
      <c r="AO11" s="173"/>
      <c r="AP11" s="174"/>
      <c r="AQ11" s="218"/>
      <c r="AR11" s="173"/>
      <c r="AS11" s="219">
        <f t="shared" si="7"/>
        <v>1.28</v>
      </c>
      <c r="AT11" s="219">
        <f t="shared" si="8"/>
        <v>0</v>
      </c>
      <c r="AU11" s="219">
        <f t="shared" si="9"/>
        <v>0</v>
      </c>
      <c r="AV11" s="219">
        <f t="shared" si="10"/>
        <v>0</v>
      </c>
      <c r="AW11" s="219">
        <f t="shared" si="11"/>
        <v>1.28</v>
      </c>
      <c r="AX11" s="231">
        <f t="shared" si="12"/>
        <v>1.28</v>
      </c>
      <c r="AY11" s="231"/>
      <c r="AZ11" s="231"/>
      <c r="BA11" s="231"/>
      <c r="BB11" s="232"/>
      <c r="BC11" s="231">
        <f t="shared" si="14"/>
        <v>1.28</v>
      </c>
      <c r="BD11" s="233" t="s">
        <v>154</v>
      </c>
      <c r="BE11" s="251"/>
      <c r="BF11" s="251"/>
      <c r="BG11" s="251"/>
      <c r="BH11" s="251"/>
    </row>
    <row r="12" s="161" customFormat="1" ht="18" customHeight="1" spans="1:60">
      <c r="A12" s="172">
        <v>3</v>
      </c>
      <c r="B12" s="142" t="s">
        <v>140</v>
      </c>
      <c r="C12" s="131" t="s">
        <v>157</v>
      </c>
      <c r="D12" s="141" t="s">
        <v>142</v>
      </c>
      <c r="E12" s="142" t="s">
        <v>150</v>
      </c>
      <c r="F12" s="143" t="s">
        <v>158</v>
      </c>
      <c r="G12" s="144" t="s">
        <v>159</v>
      </c>
      <c r="H12" s="141" t="s">
        <v>160</v>
      </c>
      <c r="I12" s="141" t="s">
        <v>160</v>
      </c>
      <c r="J12" s="141" t="s">
        <v>147</v>
      </c>
      <c r="K12" s="141" t="s">
        <v>147</v>
      </c>
      <c r="L12" s="172">
        <v>3053.05</v>
      </c>
      <c r="M12" s="172">
        <v>0.16</v>
      </c>
      <c r="N12" s="172">
        <f t="shared" ref="N12:N15" si="17">ROUND(L12*M12,2)</f>
        <v>488.49</v>
      </c>
      <c r="O12" s="172">
        <v>0.08</v>
      </c>
      <c r="P12" s="172">
        <f t="shared" ref="P12:P15" si="18">ROUND(L12*O12,2)</f>
        <v>244.24</v>
      </c>
      <c r="Q12" s="172">
        <v>3053.05</v>
      </c>
      <c r="R12" s="172">
        <v>0.06</v>
      </c>
      <c r="S12" s="172">
        <f t="shared" ref="S12:S15" si="19">ROUND(Q12*R12,2)</f>
        <v>183.18</v>
      </c>
      <c r="T12" s="172">
        <v>0.02</v>
      </c>
      <c r="U12" s="172">
        <f t="shared" ref="U12:U15" si="20">ROUND(Q12*T12,2)</f>
        <v>61.06</v>
      </c>
      <c r="V12" s="172">
        <v>3053.05</v>
      </c>
      <c r="W12" s="172">
        <v>0.007</v>
      </c>
      <c r="X12" s="172">
        <f t="shared" ref="X12:X15" si="21">ROUND(V12*W12,2)</f>
        <v>21.37</v>
      </c>
      <c r="Y12" s="172">
        <v>0.003</v>
      </c>
      <c r="Z12" s="172">
        <f t="shared" ref="Z12:Z15" si="22">ROUND(V12*Y12,2)</f>
        <v>9.16</v>
      </c>
      <c r="AA12" s="172">
        <v>3053.05</v>
      </c>
      <c r="AB12" s="172">
        <v>0.007</v>
      </c>
      <c r="AC12" s="172">
        <f t="shared" ref="AC12:AC15" si="23">ROUND(AA12*AB12,2)</f>
        <v>21.37</v>
      </c>
      <c r="AD12" s="172">
        <v>3053.05</v>
      </c>
      <c r="AE12" s="172">
        <v>0.002</v>
      </c>
      <c r="AF12" s="172">
        <f t="shared" si="6"/>
        <v>6.11</v>
      </c>
      <c r="AG12" s="172" t="s">
        <v>161</v>
      </c>
      <c r="AH12" s="172">
        <v>0.05</v>
      </c>
      <c r="AI12" s="172">
        <f t="shared" ref="AI12:AI15" si="24">ROUND(AG12*AH12,2)</f>
        <v>79</v>
      </c>
      <c r="AJ12" s="172">
        <v>0.05</v>
      </c>
      <c r="AK12" s="172">
        <f t="shared" ref="AK12:AK15" si="25">ROUND(AG12*AJ12,2)</f>
        <v>79</v>
      </c>
      <c r="AL12" s="210"/>
      <c r="AM12" s="172"/>
      <c r="AN12" s="172"/>
      <c r="AO12" s="172"/>
      <c r="AP12" s="142"/>
      <c r="AQ12" s="216"/>
      <c r="AR12" s="172">
        <v>96</v>
      </c>
      <c r="AS12" s="217">
        <f t="shared" si="7"/>
        <v>720.52</v>
      </c>
      <c r="AT12" s="217">
        <f t="shared" si="8"/>
        <v>314.46</v>
      </c>
      <c r="AU12" s="217">
        <f t="shared" si="9"/>
        <v>79</v>
      </c>
      <c r="AV12" s="217">
        <f t="shared" si="10"/>
        <v>79</v>
      </c>
      <c r="AW12" s="217">
        <f t="shared" si="11"/>
        <v>1192.98</v>
      </c>
      <c r="AX12" s="228">
        <f t="shared" si="12"/>
        <v>1034.98</v>
      </c>
      <c r="AY12" s="228"/>
      <c r="AZ12" s="228">
        <f t="shared" ref="AZ12:AZ15" si="26">AU12+AV12</f>
        <v>158</v>
      </c>
      <c r="BA12" s="228"/>
      <c r="BB12" s="229">
        <v>80</v>
      </c>
      <c r="BC12" s="228">
        <f t="shared" si="14"/>
        <v>1272.98</v>
      </c>
      <c r="BD12" s="230"/>
      <c r="BE12" s="250"/>
      <c r="BF12" s="250"/>
      <c r="BG12" s="250"/>
      <c r="BH12" s="250"/>
    </row>
    <row r="13" s="161" customFormat="1" ht="18" customHeight="1" spans="1:60">
      <c r="A13" s="172"/>
      <c r="B13" s="142" t="s">
        <v>140</v>
      </c>
      <c r="C13" s="131" t="s">
        <v>157</v>
      </c>
      <c r="D13" s="141" t="s">
        <v>142</v>
      </c>
      <c r="E13" s="142" t="s">
        <v>150</v>
      </c>
      <c r="F13" s="143" t="s">
        <v>158</v>
      </c>
      <c r="G13" s="144" t="s">
        <v>159</v>
      </c>
      <c r="H13" s="141" t="s">
        <v>160</v>
      </c>
      <c r="I13" s="141" t="s">
        <v>160</v>
      </c>
      <c r="J13" s="141" t="s">
        <v>148</v>
      </c>
      <c r="K13" s="141" t="s">
        <v>148</v>
      </c>
      <c r="L13" s="172">
        <v>3053.05</v>
      </c>
      <c r="M13" s="172">
        <v>0.16</v>
      </c>
      <c r="N13" s="172">
        <f t="shared" si="17"/>
        <v>488.49</v>
      </c>
      <c r="O13" s="172">
        <v>0.08</v>
      </c>
      <c r="P13" s="172">
        <f t="shared" si="18"/>
        <v>244.24</v>
      </c>
      <c r="Q13" s="172">
        <v>3053.05</v>
      </c>
      <c r="R13" s="172">
        <v>0.06</v>
      </c>
      <c r="S13" s="172">
        <f t="shared" si="19"/>
        <v>183.18</v>
      </c>
      <c r="T13" s="172">
        <v>0.02</v>
      </c>
      <c r="U13" s="172">
        <f t="shared" si="20"/>
        <v>61.06</v>
      </c>
      <c r="V13" s="172">
        <v>3053.05</v>
      </c>
      <c r="W13" s="172">
        <v>0.007</v>
      </c>
      <c r="X13" s="172">
        <f t="shared" si="21"/>
        <v>21.37</v>
      </c>
      <c r="Y13" s="172">
        <v>0.003</v>
      </c>
      <c r="Z13" s="172">
        <f t="shared" si="22"/>
        <v>9.16</v>
      </c>
      <c r="AA13" s="172">
        <v>3053.05</v>
      </c>
      <c r="AB13" s="172">
        <v>0.007</v>
      </c>
      <c r="AC13" s="172">
        <f t="shared" si="23"/>
        <v>21.37</v>
      </c>
      <c r="AD13" s="172">
        <v>3053.05</v>
      </c>
      <c r="AE13" s="172">
        <v>0.002</v>
      </c>
      <c r="AF13" s="172">
        <f t="shared" si="6"/>
        <v>6.11</v>
      </c>
      <c r="AG13" s="172" t="s">
        <v>161</v>
      </c>
      <c r="AH13" s="172">
        <v>0.05</v>
      </c>
      <c r="AI13" s="172">
        <f t="shared" si="24"/>
        <v>79</v>
      </c>
      <c r="AJ13" s="172">
        <v>0.05</v>
      </c>
      <c r="AK13" s="172">
        <f t="shared" si="25"/>
        <v>79</v>
      </c>
      <c r="AL13" s="210"/>
      <c r="AM13" s="172"/>
      <c r="AN13" s="172"/>
      <c r="AO13" s="172"/>
      <c r="AP13" s="142"/>
      <c r="AQ13" s="216"/>
      <c r="AR13" s="216"/>
      <c r="AS13" s="217">
        <f t="shared" si="7"/>
        <v>720.52</v>
      </c>
      <c r="AT13" s="217">
        <f t="shared" si="8"/>
        <v>314.46</v>
      </c>
      <c r="AU13" s="217">
        <f t="shared" si="9"/>
        <v>79</v>
      </c>
      <c r="AV13" s="217">
        <f t="shared" si="10"/>
        <v>79</v>
      </c>
      <c r="AW13" s="217">
        <f t="shared" si="11"/>
        <v>1192.98</v>
      </c>
      <c r="AX13" s="228">
        <f t="shared" si="12"/>
        <v>1034.98</v>
      </c>
      <c r="AY13" s="228"/>
      <c r="AZ13" s="228">
        <f t="shared" si="26"/>
        <v>158</v>
      </c>
      <c r="BA13" s="228"/>
      <c r="BB13" s="229">
        <v>80</v>
      </c>
      <c r="BC13" s="228">
        <f t="shared" si="14"/>
        <v>1272.98</v>
      </c>
      <c r="BD13" s="230"/>
      <c r="BE13" s="250"/>
      <c r="BF13" s="250"/>
      <c r="BG13" s="250"/>
      <c r="BH13" s="250"/>
    </row>
    <row r="14" s="161" customFormat="1" ht="18" customHeight="1" spans="1:60">
      <c r="A14" s="172"/>
      <c r="B14" s="142" t="s">
        <v>140</v>
      </c>
      <c r="C14" s="131" t="s">
        <v>157</v>
      </c>
      <c r="D14" s="141" t="s">
        <v>142</v>
      </c>
      <c r="E14" s="142" t="s">
        <v>150</v>
      </c>
      <c r="F14" s="143" t="s">
        <v>158</v>
      </c>
      <c r="G14" s="144" t="s">
        <v>159</v>
      </c>
      <c r="H14" s="141" t="s">
        <v>160</v>
      </c>
      <c r="I14" s="141" t="s">
        <v>160</v>
      </c>
      <c r="J14" s="141" t="s">
        <v>162</v>
      </c>
      <c r="K14" s="141" t="s">
        <v>162</v>
      </c>
      <c r="L14" s="172">
        <v>3053.05</v>
      </c>
      <c r="M14" s="172">
        <v>0.16</v>
      </c>
      <c r="N14" s="172">
        <f t="shared" si="17"/>
        <v>488.49</v>
      </c>
      <c r="O14" s="172">
        <v>0.08</v>
      </c>
      <c r="P14" s="172">
        <f t="shared" si="18"/>
        <v>244.24</v>
      </c>
      <c r="Q14" s="172">
        <v>3053.05</v>
      </c>
      <c r="R14" s="172">
        <v>0.06</v>
      </c>
      <c r="S14" s="172">
        <f t="shared" si="19"/>
        <v>183.18</v>
      </c>
      <c r="T14" s="172">
        <v>0.02</v>
      </c>
      <c r="U14" s="172">
        <f t="shared" si="20"/>
        <v>61.06</v>
      </c>
      <c r="V14" s="172">
        <v>3053.05</v>
      </c>
      <c r="W14" s="172">
        <v>0.007</v>
      </c>
      <c r="X14" s="172">
        <f t="shared" si="21"/>
        <v>21.37</v>
      </c>
      <c r="Y14" s="172">
        <v>0.003</v>
      </c>
      <c r="Z14" s="172">
        <f t="shared" si="22"/>
        <v>9.16</v>
      </c>
      <c r="AA14" s="172">
        <v>3053.05</v>
      </c>
      <c r="AB14" s="172">
        <v>0.007</v>
      </c>
      <c r="AC14" s="172">
        <f t="shared" si="23"/>
        <v>21.37</v>
      </c>
      <c r="AD14" s="172">
        <v>3053.05</v>
      </c>
      <c r="AE14" s="172">
        <v>0.002</v>
      </c>
      <c r="AF14" s="172">
        <f t="shared" si="6"/>
        <v>6.11</v>
      </c>
      <c r="AG14" s="172" t="s">
        <v>161</v>
      </c>
      <c r="AH14" s="172">
        <v>0.05</v>
      </c>
      <c r="AI14" s="172">
        <f t="shared" si="24"/>
        <v>79</v>
      </c>
      <c r="AJ14" s="172">
        <v>0.05</v>
      </c>
      <c r="AK14" s="172">
        <f t="shared" si="25"/>
        <v>79</v>
      </c>
      <c r="AL14" s="210"/>
      <c r="AM14" s="172"/>
      <c r="AN14" s="172"/>
      <c r="AO14" s="172"/>
      <c r="AP14" s="142"/>
      <c r="AQ14" s="216"/>
      <c r="AR14" s="216"/>
      <c r="AS14" s="217">
        <f t="shared" si="7"/>
        <v>720.52</v>
      </c>
      <c r="AT14" s="217">
        <f t="shared" si="8"/>
        <v>314.46</v>
      </c>
      <c r="AU14" s="217">
        <f t="shared" si="9"/>
        <v>79</v>
      </c>
      <c r="AV14" s="217">
        <f t="shared" si="10"/>
        <v>79</v>
      </c>
      <c r="AW14" s="217">
        <f t="shared" si="11"/>
        <v>1192.98</v>
      </c>
      <c r="AX14" s="228">
        <f t="shared" si="12"/>
        <v>1034.98</v>
      </c>
      <c r="AY14" s="228"/>
      <c r="AZ14" s="228">
        <f t="shared" si="26"/>
        <v>158</v>
      </c>
      <c r="BA14" s="228"/>
      <c r="BB14" s="229">
        <v>80</v>
      </c>
      <c r="BC14" s="228">
        <f t="shared" si="14"/>
        <v>1272.98</v>
      </c>
      <c r="BD14" s="230"/>
      <c r="BE14" s="250"/>
      <c r="BF14" s="250"/>
      <c r="BG14" s="250"/>
      <c r="BH14" s="250"/>
    </row>
    <row r="15" s="162" customFormat="1" ht="18" customHeight="1" spans="1:60">
      <c r="A15" s="173" t="s">
        <v>152</v>
      </c>
      <c r="B15" s="174" t="s">
        <v>140</v>
      </c>
      <c r="C15" s="126" t="s">
        <v>157</v>
      </c>
      <c r="D15" s="175" t="s">
        <v>142</v>
      </c>
      <c r="E15" s="174" t="s">
        <v>150</v>
      </c>
      <c r="F15" s="176" t="s">
        <v>158</v>
      </c>
      <c r="G15" s="177" t="s">
        <v>159</v>
      </c>
      <c r="H15" s="175" t="s">
        <v>160</v>
      </c>
      <c r="I15" s="175" t="s">
        <v>160</v>
      </c>
      <c r="J15" s="175" t="s">
        <v>160</v>
      </c>
      <c r="K15" s="175" t="s">
        <v>160</v>
      </c>
      <c r="L15" s="173">
        <v>3053.05</v>
      </c>
      <c r="M15" s="173">
        <v>0.16</v>
      </c>
      <c r="N15" s="173">
        <f t="shared" si="17"/>
        <v>488.49</v>
      </c>
      <c r="O15" s="173">
        <v>0.08</v>
      </c>
      <c r="P15" s="173">
        <f t="shared" si="18"/>
        <v>244.24</v>
      </c>
      <c r="Q15" s="173">
        <v>3053.05</v>
      </c>
      <c r="R15" s="173">
        <v>0.06</v>
      </c>
      <c r="S15" s="173">
        <f t="shared" si="19"/>
        <v>183.18</v>
      </c>
      <c r="T15" s="173">
        <v>0.02</v>
      </c>
      <c r="U15" s="173">
        <f t="shared" si="20"/>
        <v>61.06</v>
      </c>
      <c r="V15" s="173">
        <v>3053.05</v>
      </c>
      <c r="W15" s="173">
        <v>0.007</v>
      </c>
      <c r="X15" s="173">
        <f t="shared" si="21"/>
        <v>21.37</v>
      </c>
      <c r="Y15" s="173">
        <v>0.003</v>
      </c>
      <c r="Z15" s="173">
        <f t="shared" si="22"/>
        <v>9.16</v>
      </c>
      <c r="AA15" s="173">
        <v>3053.05</v>
      </c>
      <c r="AB15" s="173">
        <v>0.007</v>
      </c>
      <c r="AC15" s="173">
        <f t="shared" si="23"/>
        <v>21.37</v>
      </c>
      <c r="AD15" s="173">
        <v>3053.05</v>
      </c>
      <c r="AE15" s="173">
        <v>0.002</v>
      </c>
      <c r="AF15" s="173">
        <f t="shared" si="6"/>
        <v>6.11</v>
      </c>
      <c r="AG15" s="173" t="s">
        <v>161</v>
      </c>
      <c r="AH15" s="173">
        <v>0.05</v>
      </c>
      <c r="AI15" s="173">
        <f t="shared" si="24"/>
        <v>79</v>
      </c>
      <c r="AJ15" s="173">
        <v>0.05</v>
      </c>
      <c r="AK15" s="173">
        <f t="shared" si="25"/>
        <v>79</v>
      </c>
      <c r="AL15" s="211"/>
      <c r="AM15" s="173"/>
      <c r="AN15" s="173"/>
      <c r="AO15" s="173"/>
      <c r="AP15" s="174"/>
      <c r="AQ15" s="218"/>
      <c r="AR15" s="218"/>
      <c r="AS15" s="219">
        <f t="shared" si="7"/>
        <v>720.52</v>
      </c>
      <c r="AT15" s="219">
        <f t="shared" si="8"/>
        <v>314.46</v>
      </c>
      <c r="AU15" s="219">
        <f t="shared" si="9"/>
        <v>79</v>
      </c>
      <c r="AV15" s="219">
        <f t="shared" si="10"/>
        <v>79</v>
      </c>
      <c r="AW15" s="219">
        <f t="shared" si="11"/>
        <v>1192.98</v>
      </c>
      <c r="AX15" s="231">
        <f t="shared" si="12"/>
        <v>1034.98</v>
      </c>
      <c r="AY15" s="231"/>
      <c r="AZ15" s="231">
        <f t="shared" si="26"/>
        <v>158</v>
      </c>
      <c r="BA15" s="231"/>
      <c r="BB15" s="232">
        <v>80</v>
      </c>
      <c r="BC15" s="231">
        <f t="shared" si="14"/>
        <v>1272.98</v>
      </c>
      <c r="BD15" s="233"/>
      <c r="BE15" s="251"/>
      <c r="BF15" s="251"/>
      <c r="BG15" s="251"/>
      <c r="BH15" s="251"/>
    </row>
    <row r="16" s="163" customFormat="1" ht="18" customHeight="1" spans="1:60">
      <c r="A16" s="185"/>
      <c r="B16" s="186"/>
      <c r="C16" s="180"/>
      <c r="D16" s="187"/>
      <c r="E16" s="188"/>
      <c r="F16" s="189"/>
      <c r="G16" s="190"/>
      <c r="H16" s="191"/>
      <c r="I16" s="187"/>
      <c r="J16" s="191"/>
      <c r="K16" s="191"/>
      <c r="L16" s="205"/>
      <c r="M16" s="205"/>
      <c r="N16" s="206"/>
      <c r="O16" s="205"/>
      <c r="P16" s="205"/>
      <c r="Q16" s="205"/>
      <c r="R16" s="205"/>
      <c r="S16" s="205"/>
      <c r="T16" s="205"/>
      <c r="U16" s="205"/>
      <c r="V16" s="208"/>
      <c r="W16" s="208"/>
      <c r="X16" s="209"/>
      <c r="Y16" s="208"/>
      <c r="Z16" s="205"/>
      <c r="AA16" s="205"/>
      <c r="AB16" s="205"/>
      <c r="AC16" s="205"/>
      <c r="AD16" s="205"/>
      <c r="AE16" s="205"/>
      <c r="AF16" s="206"/>
      <c r="AG16" s="205"/>
      <c r="AH16" s="205"/>
      <c r="AI16" s="205"/>
      <c r="AJ16" s="205"/>
      <c r="AK16" s="205"/>
      <c r="AL16" s="213"/>
      <c r="AM16" s="205"/>
      <c r="AN16" s="205"/>
      <c r="AO16" s="205"/>
      <c r="AP16" s="222"/>
      <c r="AQ16" s="223"/>
      <c r="AR16" s="205"/>
      <c r="AS16" s="224"/>
      <c r="AT16" s="224"/>
      <c r="AU16" s="224"/>
      <c r="AV16" s="224"/>
      <c r="AW16" s="224"/>
      <c r="AX16" s="236"/>
      <c r="AY16" s="237"/>
      <c r="AZ16" s="236"/>
      <c r="BA16" s="237"/>
      <c r="BB16" s="238"/>
      <c r="BC16" s="236"/>
      <c r="BD16" s="240"/>
      <c r="BE16" s="160"/>
      <c r="BF16" s="160"/>
      <c r="BG16" s="160"/>
      <c r="BH16" s="160"/>
    </row>
    <row r="17" s="160" customFormat="1" ht="14.25" spans="1:56">
      <c r="A17" s="192" t="s">
        <v>163</v>
      </c>
      <c r="B17" s="193"/>
      <c r="C17" s="194"/>
      <c r="D17" s="194"/>
      <c r="E17" s="195"/>
      <c r="F17" s="194"/>
      <c r="G17" s="194"/>
      <c r="H17" s="194"/>
      <c r="I17" s="194"/>
      <c r="J17" s="194"/>
      <c r="K17" s="194"/>
      <c r="L17" s="195">
        <f t="shared" ref="L17:BC17" si="27">SUM(L3:L15)</f>
        <v>33521.2</v>
      </c>
      <c r="M17" s="195">
        <f t="shared" si="27"/>
        <v>1.54</v>
      </c>
      <c r="N17" s="195">
        <f t="shared" si="27"/>
        <v>5135.22</v>
      </c>
      <c r="O17" s="195">
        <f t="shared" si="27"/>
        <v>0.8</v>
      </c>
      <c r="P17" s="195">
        <f t="shared" si="27"/>
        <v>2681.68</v>
      </c>
      <c r="Q17" s="195">
        <f t="shared" si="27"/>
        <v>40637.2</v>
      </c>
      <c r="R17" s="195">
        <f t="shared" si="27"/>
        <v>0.645</v>
      </c>
      <c r="S17" s="195">
        <f t="shared" si="27"/>
        <v>2543.61</v>
      </c>
      <c r="T17" s="195">
        <f t="shared" si="27"/>
        <v>0.2</v>
      </c>
      <c r="U17" s="195">
        <f t="shared" si="27"/>
        <v>812.74</v>
      </c>
      <c r="V17" s="195">
        <f t="shared" si="27"/>
        <v>33521.2</v>
      </c>
      <c r="W17" s="195">
        <f t="shared" si="27"/>
        <v>0.0586</v>
      </c>
      <c r="X17" s="195">
        <f t="shared" si="27"/>
        <v>191.29</v>
      </c>
      <c r="Y17" s="195">
        <f t="shared" si="27"/>
        <v>0.027</v>
      </c>
      <c r="Z17" s="195">
        <f t="shared" si="27"/>
        <v>89.17</v>
      </c>
      <c r="AA17" s="195">
        <f t="shared" si="27"/>
        <v>30737.2</v>
      </c>
      <c r="AB17" s="195">
        <f t="shared" si="27"/>
        <v>0.0535</v>
      </c>
      <c r="AC17" s="195">
        <f t="shared" si="27"/>
        <v>242.95</v>
      </c>
      <c r="AD17" s="195">
        <f t="shared" si="27"/>
        <v>35930.2</v>
      </c>
      <c r="AE17" s="195">
        <f t="shared" si="27"/>
        <v>0.0236</v>
      </c>
      <c r="AF17" s="195">
        <f t="shared" si="27"/>
        <v>66.32</v>
      </c>
      <c r="AG17" s="195">
        <f t="shared" si="27"/>
        <v>9000</v>
      </c>
      <c r="AH17" s="195">
        <f t="shared" si="27"/>
        <v>0.5</v>
      </c>
      <c r="AI17" s="195">
        <f t="shared" si="27"/>
        <v>1216</v>
      </c>
      <c r="AJ17" s="195">
        <f t="shared" si="27"/>
        <v>0.38</v>
      </c>
      <c r="AK17" s="195">
        <f t="shared" si="27"/>
        <v>856</v>
      </c>
      <c r="AL17" s="195">
        <f t="shared" si="27"/>
        <v>0</v>
      </c>
      <c r="AM17" s="195">
        <f t="shared" si="27"/>
        <v>0</v>
      </c>
      <c r="AN17" s="195">
        <f t="shared" si="27"/>
        <v>0</v>
      </c>
      <c r="AO17" s="195">
        <f t="shared" si="27"/>
        <v>0</v>
      </c>
      <c r="AP17" s="195">
        <f t="shared" si="27"/>
        <v>0</v>
      </c>
      <c r="AQ17" s="195">
        <f t="shared" si="27"/>
        <v>95.28</v>
      </c>
      <c r="AR17" s="195">
        <f t="shared" si="27"/>
        <v>96</v>
      </c>
      <c r="AS17" s="195">
        <f t="shared" si="27"/>
        <v>8274.67</v>
      </c>
      <c r="AT17" s="195">
        <f t="shared" si="27"/>
        <v>3583.59</v>
      </c>
      <c r="AU17" s="195">
        <f t="shared" si="27"/>
        <v>1216</v>
      </c>
      <c r="AV17" s="195">
        <f t="shared" si="27"/>
        <v>856</v>
      </c>
      <c r="AW17" s="195">
        <f t="shared" si="27"/>
        <v>13930.26</v>
      </c>
      <c r="AX17" s="195">
        <f t="shared" si="27"/>
        <v>11858.26</v>
      </c>
      <c r="AY17" s="195">
        <f t="shared" si="27"/>
        <v>0</v>
      </c>
      <c r="AZ17" s="195">
        <f t="shared" si="27"/>
        <v>2072</v>
      </c>
      <c r="BA17" s="195">
        <f t="shared" si="27"/>
        <v>0</v>
      </c>
      <c r="BB17" s="195">
        <f t="shared" si="27"/>
        <v>800</v>
      </c>
      <c r="BC17" s="195">
        <f t="shared" si="27"/>
        <v>14730.26</v>
      </c>
      <c r="BD17" s="241"/>
    </row>
    <row r="18" s="160" customFormat="1" ht="15" spans="1:56">
      <c r="A18" s="196" t="s">
        <v>61</v>
      </c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207">
        <f t="shared" ref="L18:AX18" si="28">SUM(L17:L17)</f>
        <v>33521.2</v>
      </c>
      <c r="M18" s="207">
        <f t="shared" si="28"/>
        <v>1.54</v>
      </c>
      <c r="N18" s="207">
        <f t="shared" si="28"/>
        <v>5135.22</v>
      </c>
      <c r="O18" s="207">
        <f t="shared" si="28"/>
        <v>0.8</v>
      </c>
      <c r="P18" s="207">
        <f t="shared" si="28"/>
        <v>2681.68</v>
      </c>
      <c r="Q18" s="207">
        <f t="shared" si="28"/>
        <v>40637.2</v>
      </c>
      <c r="R18" s="207">
        <f t="shared" si="28"/>
        <v>0.645</v>
      </c>
      <c r="S18" s="207">
        <f t="shared" si="28"/>
        <v>2543.61</v>
      </c>
      <c r="T18" s="207">
        <f t="shared" si="28"/>
        <v>0.2</v>
      </c>
      <c r="U18" s="207">
        <f t="shared" si="28"/>
        <v>812.74</v>
      </c>
      <c r="V18" s="207">
        <f t="shared" si="28"/>
        <v>33521.2</v>
      </c>
      <c r="W18" s="207">
        <f t="shared" si="28"/>
        <v>0.0586</v>
      </c>
      <c r="X18" s="207">
        <f t="shared" si="28"/>
        <v>191.29</v>
      </c>
      <c r="Y18" s="207">
        <f t="shared" si="28"/>
        <v>0.027</v>
      </c>
      <c r="Z18" s="207">
        <f t="shared" si="28"/>
        <v>89.17</v>
      </c>
      <c r="AA18" s="207">
        <f t="shared" si="28"/>
        <v>30737.2</v>
      </c>
      <c r="AB18" s="207">
        <f t="shared" si="28"/>
        <v>0.0535</v>
      </c>
      <c r="AC18" s="207">
        <f t="shared" si="28"/>
        <v>242.95</v>
      </c>
      <c r="AD18" s="207">
        <f t="shared" si="28"/>
        <v>35930.2</v>
      </c>
      <c r="AE18" s="207">
        <f t="shared" si="28"/>
        <v>0.0236</v>
      </c>
      <c r="AF18" s="207">
        <f t="shared" si="28"/>
        <v>66.32</v>
      </c>
      <c r="AG18" s="207">
        <f t="shared" si="28"/>
        <v>9000</v>
      </c>
      <c r="AH18" s="207">
        <f t="shared" si="28"/>
        <v>0.5</v>
      </c>
      <c r="AI18" s="207">
        <f t="shared" si="28"/>
        <v>1216</v>
      </c>
      <c r="AJ18" s="207">
        <f t="shared" si="28"/>
        <v>0.38</v>
      </c>
      <c r="AK18" s="207">
        <f t="shared" si="28"/>
        <v>856</v>
      </c>
      <c r="AL18" s="207">
        <f t="shared" si="28"/>
        <v>0</v>
      </c>
      <c r="AM18" s="207">
        <f t="shared" si="28"/>
        <v>0</v>
      </c>
      <c r="AN18" s="207">
        <f t="shared" si="28"/>
        <v>0</v>
      </c>
      <c r="AO18" s="207">
        <f t="shared" si="28"/>
        <v>0</v>
      </c>
      <c r="AP18" s="207">
        <f t="shared" si="28"/>
        <v>0</v>
      </c>
      <c r="AQ18" s="207">
        <f t="shared" si="28"/>
        <v>95.28</v>
      </c>
      <c r="AR18" s="207">
        <f t="shared" si="28"/>
        <v>96</v>
      </c>
      <c r="AS18" s="225">
        <f t="shared" si="28"/>
        <v>8274.67</v>
      </c>
      <c r="AT18" s="225">
        <f t="shared" si="28"/>
        <v>3583.59</v>
      </c>
      <c r="AU18" s="225">
        <f t="shared" si="28"/>
        <v>1216</v>
      </c>
      <c r="AV18" s="225">
        <f t="shared" si="28"/>
        <v>856</v>
      </c>
      <c r="AW18" s="225">
        <f t="shared" si="28"/>
        <v>13930.26</v>
      </c>
      <c r="AX18" s="242">
        <f t="shared" si="28"/>
        <v>11858.26</v>
      </c>
      <c r="AY18" s="242"/>
      <c r="AZ18" s="242">
        <f t="shared" ref="AZ18:BC18" si="29">SUM(AZ17:AZ17)</f>
        <v>2072</v>
      </c>
      <c r="BA18" s="242"/>
      <c r="BB18" s="207">
        <f t="shared" si="29"/>
        <v>800</v>
      </c>
      <c r="BC18" s="207">
        <f t="shared" si="29"/>
        <v>14730.26</v>
      </c>
      <c r="BD18" s="243"/>
    </row>
    <row r="19" s="164" customFormat="1" spans="1:56">
      <c r="A19" s="200"/>
      <c r="B19" s="200"/>
      <c r="C19" s="200"/>
      <c r="D19" s="200"/>
      <c r="E19" s="200"/>
      <c r="F19" s="201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26"/>
      <c r="AT19" s="226"/>
      <c r="AU19" s="226"/>
      <c r="AV19" s="226"/>
      <c r="AW19" s="226"/>
      <c r="AX19" s="200"/>
      <c r="AY19" s="200"/>
      <c r="AZ19" s="200"/>
      <c r="BA19" s="200"/>
      <c r="BB19" s="200"/>
      <c r="BC19" s="200"/>
      <c r="BD19" s="244"/>
    </row>
    <row r="20" s="165" customFormat="1" spans="1:56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6"/>
      <c r="AT20" s="166"/>
      <c r="AU20" s="166"/>
      <c r="AV20" s="166"/>
      <c r="AW20" s="166"/>
      <c r="AX20" s="160"/>
      <c r="AY20" s="160"/>
      <c r="AZ20" s="160"/>
      <c r="BA20" s="160"/>
      <c r="BB20" s="160"/>
      <c r="BC20" s="160"/>
      <c r="BD20" s="167"/>
    </row>
    <row r="21" s="160" customFormat="1" spans="45:56">
      <c r="AS21" s="166"/>
      <c r="AT21" s="166"/>
      <c r="AU21" s="166"/>
      <c r="AV21" s="166"/>
      <c r="AW21" s="166"/>
      <c r="BD21" s="167"/>
    </row>
    <row r="22" spans="50:55">
      <c r="AX22" s="245"/>
      <c r="AY22" s="245"/>
      <c r="BC22" s="246"/>
    </row>
    <row r="23" s="160" customFormat="1" spans="45:56">
      <c r="AS23" s="166"/>
      <c r="AT23" s="166"/>
      <c r="AU23" s="166"/>
      <c r="AV23" s="166"/>
      <c r="AW23" s="166"/>
      <c r="BD23" s="167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4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4" priority="4" stopIfTrue="1"/>
  </conditionalFormatting>
  <conditionalFormatting sqref="V1">
    <cfRule type="duplicateValues" dxfId="4" priority="5" stopIfTrue="1"/>
  </conditionalFormatting>
  <conditionalFormatting sqref="AG1">
    <cfRule type="duplicateValues" dxfId="4" priority="6" stopIfTrue="1"/>
  </conditionalFormatting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3"/>
  <sheetViews>
    <sheetView workbookViewId="0">
      <pane xSplit="6" ySplit="3" topLeftCell="AK4" activePane="bottomRight" state="frozen"/>
      <selection/>
      <selection pane="topRight"/>
      <selection pane="bottomLeft"/>
      <selection pane="bottomRight" activeCell="X5" sqref="X5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252" t="s">
        <v>51</v>
      </c>
      <c r="D4" s="37" t="s">
        <v>52</v>
      </c>
      <c r="E4" s="253" t="s">
        <v>53</v>
      </c>
      <c r="F4" s="38" t="str">
        <f>IF(MOD(MID(E4,17,1),2)=1,"男","女")</f>
        <v>男</v>
      </c>
      <c r="G4" s="254">
        <v>18035163638</v>
      </c>
      <c r="H4" s="255"/>
      <c r="I4" s="255"/>
      <c r="J4" s="257"/>
      <c r="K4" s="255"/>
      <c r="L4" s="258">
        <v>7700</v>
      </c>
      <c r="M4" s="258">
        <v>264</v>
      </c>
      <c r="N4" s="258">
        <v>66</v>
      </c>
      <c r="O4" s="258">
        <v>9.9</v>
      </c>
      <c r="P4" s="258">
        <v>180</v>
      </c>
      <c r="Q4" s="89">
        <f>ROUND(SUM(M4:P4),2)</f>
        <v>519.9</v>
      </c>
      <c r="R4" s="70">
        <v>0</v>
      </c>
      <c r="S4" s="90">
        <f>L4+IFERROR(VLOOKUP($E:$E,'（居民）工资表-3月'!$E:$S,15,0),0)</f>
        <v>35160</v>
      </c>
      <c r="T4" s="91">
        <f>5000+IFERROR(VLOOKUP($E:$E,'（居民）工资表-3月'!$E:$T,16,0),0)</f>
        <v>20000</v>
      </c>
      <c r="U4" s="91">
        <f>Q4+IFERROR(VLOOKUP($E:$E,'（居民）工资表-3月'!$E:$U,17,0),0)</f>
        <v>2079.6</v>
      </c>
      <c r="V4" s="70"/>
      <c r="W4" s="70"/>
      <c r="X4" s="70">
        <v>4000</v>
      </c>
      <c r="Y4" s="70"/>
      <c r="Z4" s="70"/>
      <c r="AA4" s="70"/>
      <c r="AB4" s="90">
        <f>ROUND(SUM(V4:AA4),2)</f>
        <v>4000</v>
      </c>
      <c r="AC4" s="90">
        <f>R4+IFERROR(VLOOKUP($E:$E,'（居民）工资表-3月'!$E:$AC,25,0),0)</f>
        <v>0</v>
      </c>
      <c r="AD4" s="93">
        <f>ROUND(S4-T4-U4-AB4-AC4,2)</f>
        <v>9080.4</v>
      </c>
      <c r="AE4" s="94">
        <f>ROUND(MAX((AD4)*{0.03;0.1;0.2;0.25;0.3;0.35;0.45}-{0;2520;16920;31920;52920;85920;181920},0),2)</f>
        <v>272.41</v>
      </c>
      <c r="AF4" s="95">
        <f>IFERROR(VLOOKUP(E:E,'（居民）工资表-3月'!E:AF,28,0)+VLOOKUP(E:E,'（居民）工资表-3月'!E:AG,29,0),0)</f>
        <v>237.01</v>
      </c>
      <c r="AG4" s="95">
        <f>IF((AE4-AF4)&lt;0,0,AE4-AF4)</f>
        <v>35.4</v>
      </c>
      <c r="AH4" s="102">
        <f>ROUND(IF((L4-Q4-AG4)&lt;0,0,(L4-Q4-AG4)),2)</f>
        <v>7144.7</v>
      </c>
      <c r="AI4" s="103"/>
      <c r="AJ4" s="102">
        <f>AH4+AI4</f>
        <v>7144.7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IF(SUMPRODUCT(N(E$1:E$6=E4))&gt;1,"重复","不")</f>
        <v>不</v>
      </c>
      <c r="AT4" s="111" t="str">
        <f>IF(SUMPRODUCT(N(AO$1:AO$6=AO4))&gt;1,"重复","不")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256" t="s">
        <v>57</v>
      </c>
      <c r="D5" s="37" t="s">
        <v>52</v>
      </c>
      <c r="E5" s="364" t="s">
        <v>58</v>
      </c>
      <c r="F5" s="38" t="str">
        <f>IF(MOD(MID(E5,17,1),2)=1,"男","女")</f>
        <v>女</v>
      </c>
      <c r="G5" s="254">
        <v>13926009696</v>
      </c>
      <c r="H5" s="255"/>
      <c r="I5" s="255"/>
      <c r="J5" s="257"/>
      <c r="K5" s="255"/>
      <c r="L5" s="258">
        <v>5800</v>
      </c>
      <c r="M5" s="258">
        <v>304.24</v>
      </c>
      <c r="N5" s="258">
        <v>123.5</v>
      </c>
      <c r="O5" s="258">
        <v>7.61</v>
      </c>
      <c r="P5" s="258">
        <v>0</v>
      </c>
      <c r="Q5" s="89">
        <f>ROUND(SUM(M5:P5),2)</f>
        <v>435.35</v>
      </c>
      <c r="R5" s="70">
        <v>0</v>
      </c>
      <c r="S5" s="90">
        <f>L5+IFERROR(VLOOKUP($E:$E,'（居民）工资表-3月'!$E:$S,15,0),0)</f>
        <v>23200</v>
      </c>
      <c r="T5" s="91">
        <f>5000+IFERROR(VLOOKUP($E:$E,'（居民）工资表-3月'!$E:$T,16,0),0)</f>
        <v>20000</v>
      </c>
      <c r="U5" s="91">
        <f>Q5+IFERROR(VLOOKUP($E:$E,'（居民）工资表-3月'!$E:$U,17,0),0)</f>
        <v>1741.4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R5+IFERROR(VLOOKUP($E:$E,'（居民）工资表-3月'!$E:$AC,25,0),0)</f>
        <v>0</v>
      </c>
      <c r="AD5" s="93">
        <f>ROUND(S5-T5-U5-AB5-AC5,2)</f>
        <v>1458.6</v>
      </c>
      <c r="AE5" s="94">
        <f>ROUND(MAX((AD5)*{0.03;0.1;0.2;0.25;0.3;0.35;0.45}-{0;2520;16920;31920;52920;85920;181920},0),2)</f>
        <v>43.76</v>
      </c>
      <c r="AF5" s="95">
        <f>IFERROR(VLOOKUP(E:E,'（居民）工资表-3月'!E:AF,28,0)+VLOOKUP(E:E,'（居民）工资表-3月'!E:AG,29,0),0)</f>
        <v>32.82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IF(SUMPRODUCT(N(E$1:E$6=E5))&gt;1,"重复","不")</f>
        <v>不</v>
      </c>
      <c r="AT5" s="111" t="str">
        <f>IF(SUMPRODUCT(N(AO$1:AO$6=AO5))&gt;1,"重复","不")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158</v>
      </c>
      <c r="D6" s="37" t="s">
        <v>52</v>
      </c>
      <c r="E6" s="37" t="s">
        <v>159</v>
      </c>
      <c r="F6" s="38" t="str">
        <f>IF(MOD(MID(E6,17,1),2)=1,"男","女")</f>
        <v>男</v>
      </c>
      <c r="G6" s="39">
        <v>13944441728</v>
      </c>
      <c r="H6" s="40"/>
      <c r="I6" s="40"/>
      <c r="J6" s="69"/>
      <c r="K6" s="40"/>
      <c r="L6" s="70">
        <v>4900</v>
      </c>
      <c r="M6" s="71"/>
      <c r="N6" s="71"/>
      <c r="O6" s="71"/>
      <c r="P6" s="71"/>
      <c r="Q6" s="89">
        <f>ROUND(SUM(M6:P6),2)</f>
        <v>0</v>
      </c>
      <c r="R6" s="70">
        <v>0</v>
      </c>
      <c r="S6" s="90">
        <f>L6+IFERROR(VLOOKUP($E:$E,'（居民）工资表-3月'!$E:$S,15,0),0)</f>
        <v>4900</v>
      </c>
      <c r="T6" s="91">
        <f>5000+IFERROR(VLOOKUP($E:$E,'（居民）工资表-3月'!$E:$T,16,0),0)</f>
        <v>5000</v>
      </c>
      <c r="U6" s="91">
        <f>Q6+IFERROR(VLOOKUP($E:$E,'（居民）工资表-3月'!$E:$U,17,0),0)</f>
        <v>0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R6+IFERROR(VLOOKUP($E:$E,'（居民）工资表-3月'!$E:$AC,25,0),0)</f>
        <v>0</v>
      </c>
      <c r="AD6" s="93">
        <f>ROUND(S6-T6-U6-AB6-AC6,2)</f>
        <v>-100</v>
      </c>
      <c r="AE6" s="94">
        <f>ROUND(MAX((AD6)*{0.03;0.1;0.2;0.25;0.3;0.35;0.45}-{0;2520;16920;31920;52920;85920;181920},0),2)</f>
        <v>0</v>
      </c>
      <c r="AF6" s="95">
        <f>IFERROR(VLOOKUP(E:E,'（居民）工资表-3月'!E:AF,28,0)+VLOOKUP(E:E,'（居民）工资表-3月'!E:AG,29,0),0)</f>
        <v>0</v>
      </c>
      <c r="AG6" s="95">
        <f>IF((AE6-AF6)&lt;0,0,AE6-AF6)</f>
        <v>0</v>
      </c>
      <c r="AH6" s="102">
        <f>ROUND(IF((L6-Q6-AG6)&lt;0,0,(L6-Q6-AG6)),2)</f>
        <v>4900</v>
      </c>
      <c r="AI6" s="103"/>
      <c r="AJ6" s="102">
        <f>AH6+AI6</f>
        <v>4900</v>
      </c>
      <c r="AK6" s="104"/>
      <c r="AL6" s="102">
        <f>AJ6+AG6+AK6</f>
        <v>4900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IF(SUMPRODUCT(N(E$1:E$6=E6))&gt;1,"重复","不")</f>
        <v>不</v>
      </c>
      <c r="AT6" s="111" t="str">
        <f>IF(SUMPRODUCT(N(AO$1:AO$6=AO6))&gt;1,"重复","不")</f>
        <v>重复</v>
      </c>
    </row>
    <row r="7" s="13" customFormat="1" ht="18" customHeight="1" spans="1:46">
      <c r="A7" s="41"/>
      <c r="B7" s="42" t="s">
        <v>59</v>
      </c>
      <c r="C7" s="42"/>
      <c r="D7" s="43"/>
      <c r="E7" s="44"/>
      <c r="F7" s="45"/>
      <c r="G7" s="46"/>
      <c r="H7" s="45"/>
      <c r="I7" s="72"/>
      <c r="J7" s="73"/>
      <c r="K7" s="72"/>
      <c r="L7" s="74">
        <f t="shared" ref="L7:AL7" si="0">SUM(L4:L6)</f>
        <v>18400</v>
      </c>
      <c r="M7" s="74">
        <f t="shared" si="0"/>
        <v>568.24</v>
      </c>
      <c r="N7" s="74">
        <f t="shared" si="0"/>
        <v>189.5</v>
      </c>
      <c r="O7" s="74">
        <f t="shared" si="0"/>
        <v>17.51</v>
      </c>
      <c r="P7" s="74">
        <f t="shared" si="0"/>
        <v>180</v>
      </c>
      <c r="Q7" s="74">
        <f t="shared" si="0"/>
        <v>955.25</v>
      </c>
      <c r="R7" s="74">
        <f t="shared" si="0"/>
        <v>0</v>
      </c>
      <c r="S7" s="74">
        <f t="shared" si="0"/>
        <v>63260</v>
      </c>
      <c r="T7" s="74">
        <f t="shared" si="0"/>
        <v>45000</v>
      </c>
      <c r="U7" s="74">
        <f t="shared" si="0"/>
        <v>3821</v>
      </c>
      <c r="V7" s="74">
        <f t="shared" si="0"/>
        <v>0</v>
      </c>
      <c r="W7" s="74">
        <f t="shared" si="0"/>
        <v>0</v>
      </c>
      <c r="X7" s="74">
        <f t="shared" si="0"/>
        <v>4000</v>
      </c>
      <c r="Y7" s="74">
        <f t="shared" si="0"/>
        <v>0</v>
      </c>
      <c r="Z7" s="74">
        <f t="shared" si="0"/>
        <v>0</v>
      </c>
      <c r="AA7" s="74">
        <f t="shared" si="0"/>
        <v>0</v>
      </c>
      <c r="AB7" s="74">
        <f t="shared" si="0"/>
        <v>4000</v>
      </c>
      <c r="AC7" s="74">
        <f t="shared" si="0"/>
        <v>0</v>
      </c>
      <c r="AD7" s="74">
        <f t="shared" si="0"/>
        <v>10439</v>
      </c>
      <c r="AE7" s="74">
        <f t="shared" si="0"/>
        <v>316.17</v>
      </c>
      <c r="AF7" s="74">
        <f t="shared" si="0"/>
        <v>269.83</v>
      </c>
      <c r="AG7" s="74">
        <f t="shared" si="0"/>
        <v>46.34</v>
      </c>
      <c r="AH7" s="74">
        <f t="shared" si="0"/>
        <v>17398.41</v>
      </c>
      <c r="AI7" s="105">
        <f t="shared" si="0"/>
        <v>0</v>
      </c>
      <c r="AJ7" s="74">
        <f t="shared" si="0"/>
        <v>17398.41</v>
      </c>
      <c r="AK7" s="74">
        <f t="shared" si="0"/>
        <v>0</v>
      </c>
      <c r="AL7" s="74">
        <f t="shared" si="0"/>
        <v>17444.75</v>
      </c>
      <c r="AM7" s="106"/>
      <c r="AN7" s="106"/>
      <c r="AO7" s="106"/>
      <c r="AP7" s="106"/>
      <c r="AQ7" s="106"/>
      <c r="AR7" s="45"/>
      <c r="AS7" s="45"/>
      <c r="AT7" s="112"/>
    </row>
    <row r="10" spans="30:30">
      <c r="AD10" s="96"/>
    </row>
    <row r="11" ht="18.75" customHeight="1" spans="2:33">
      <c r="B11" s="47" t="s">
        <v>29</v>
      </c>
      <c r="C11" s="47" t="s">
        <v>60</v>
      </c>
      <c r="D11" s="47" t="s">
        <v>30</v>
      </c>
      <c r="E11" s="47" t="s">
        <v>61</v>
      </c>
      <c r="AD11" s="10"/>
      <c r="AG11" s="259"/>
    </row>
    <row r="12" ht="18.75" customHeight="1" spans="2:5">
      <c r="B12" s="48">
        <f>AJ7</f>
        <v>17398.41</v>
      </c>
      <c r="C12" s="48">
        <f>AG7</f>
        <v>46.34</v>
      </c>
      <c r="D12" s="48">
        <f>AK7</f>
        <v>0</v>
      </c>
      <c r="E12" s="48">
        <f>B12+C12+D12</f>
        <v>17444.75</v>
      </c>
    </row>
    <row r="13" spans="2:5">
      <c r="B13" s="49"/>
      <c r="C13" s="49"/>
      <c r="D13" s="49"/>
      <c r="E13" s="49">
        <f>社保!BC18</f>
        <v>14730.26</v>
      </c>
    </row>
    <row r="14" s="14" customFormat="1" spans="1:35">
      <c r="A14" s="50" t="s">
        <v>62</v>
      </c>
      <c r="B14" s="51" t="s">
        <v>63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4"/>
      <c r="B15" s="55" t="s">
        <v>64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1"/>
      <c r="B16" s="55" t="s">
        <v>65</v>
      </c>
      <c r="C16" s="56"/>
      <c r="D16" s="56"/>
      <c r="E16" s="56"/>
      <c r="F16" s="56"/>
      <c r="G16" s="56"/>
      <c r="H16" s="56"/>
      <c r="I16" s="56"/>
      <c r="J16" s="77"/>
      <c r="K16" s="56"/>
      <c r="L16" s="56"/>
      <c r="M16" s="78"/>
      <c r="N16" s="56"/>
      <c r="O16" s="56"/>
      <c r="P16" s="56"/>
      <c r="AI16" s="107"/>
    </row>
    <row r="17" s="14" customFormat="1" customHeight="1" spans="1:35">
      <c r="A17" s="55"/>
      <c r="B17" s="55" t="s">
        <v>66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67</v>
      </c>
      <c r="C18" s="57"/>
      <c r="D18" s="57"/>
      <c r="E18" s="57"/>
      <c r="F18" s="57"/>
      <c r="G18" s="57"/>
      <c r="H18" s="57"/>
      <c r="I18" s="57"/>
      <c r="J18" s="82"/>
      <c r="K18" s="57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68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1" ht="11.25" customHeight="1" spans="2:2">
      <c r="B21" s="58" t="s">
        <v>69</v>
      </c>
    </row>
    <row r="22" spans="2:2">
      <c r="B22" s="59" t="s">
        <v>70</v>
      </c>
    </row>
    <row r="23" spans="2:2">
      <c r="B23" s="59" t="s">
        <v>71</v>
      </c>
    </row>
  </sheetData>
  <autoFilter ref="A3:AT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9">
    <cfRule type="duplicateValues" dxfId="0" priority="2" stopIfTrue="1"/>
  </conditionalFormatting>
  <conditionalFormatting sqref="B14:B18">
    <cfRule type="duplicateValues" dxfId="0" priority="3" stopIfTrue="1"/>
  </conditionalFormatting>
  <conditionalFormatting sqref="B22:B23">
    <cfRule type="duplicateValues" dxfId="0" priority="1" stopIfTrue="1"/>
  </conditionalFormatting>
  <conditionalFormatting sqref="C11:C13">
    <cfRule type="duplicateValues" dxfId="0" priority="4" stopIfTrue="1"/>
    <cfRule type="expression" dxfId="1" priority="5" stopIfTrue="1">
      <formula>AND(COUNTIF($B$7:$B$65443,C11)+COUNTIF($B$1:$B$3,C11)&gt;1,NOT(ISBLANK(C11)))</formula>
    </cfRule>
    <cfRule type="expression" dxfId="1" priority="6" stopIfTrue="1">
      <formula>AND(COUNTIF($B$18:$B$65394,C11)+COUNTIF($B$1:$B$17,C11)&gt;1,NOT(ISBLANK(C11)))</formula>
    </cfRule>
    <cfRule type="expression" dxfId="1" priority="7" stopIfTrue="1">
      <formula>AND(COUNTIF($B$7:$B$65432,C11)+COUNTIF($B$1:$B$3,C11)&gt;1,NOT(ISBLANK(C11)))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19" sqref="N1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252" t="s">
        <v>51</v>
      </c>
      <c r="D4" s="37" t="s">
        <v>52</v>
      </c>
      <c r="E4" s="253" t="s">
        <v>53</v>
      </c>
      <c r="F4" s="38" t="str">
        <f t="shared" ref="F4:F7" si="0">IF(MOD(MID(E4,17,1),2)=1,"男","女")</f>
        <v>男</v>
      </c>
      <c r="G4" s="254">
        <v>18035163638</v>
      </c>
      <c r="H4" s="255"/>
      <c r="I4" s="255"/>
      <c r="J4" s="257"/>
      <c r="K4" s="255"/>
      <c r="L4" s="258">
        <v>7700</v>
      </c>
      <c r="M4" s="258">
        <v>264</v>
      </c>
      <c r="N4" s="258">
        <v>66</v>
      </c>
      <c r="O4" s="258">
        <v>9.9</v>
      </c>
      <c r="P4" s="258">
        <v>180</v>
      </c>
      <c r="Q4" s="89">
        <f t="shared" ref="Q4:Q7" si="1">ROUND(SUM(M4:P4),2)</f>
        <v>519.9</v>
      </c>
      <c r="R4" s="70">
        <v>0</v>
      </c>
      <c r="S4" s="90">
        <f>L4+IFERROR(VLOOKUP($E:$E,'（居民）工资表-4月'!$E:$S,15,0),0)</f>
        <v>42860</v>
      </c>
      <c r="T4" s="91">
        <f>5000+IFERROR(VLOOKUP($E:$E,'（居民）工资表-4月'!$E:$T,16,0),0)</f>
        <v>25000</v>
      </c>
      <c r="U4" s="91">
        <f>Q4+IFERROR(VLOOKUP($E:$E,'（居民）工资表-4月'!$E:$U,17,0),0)</f>
        <v>2599.5</v>
      </c>
      <c r="V4" s="70"/>
      <c r="W4" s="70"/>
      <c r="X4" s="70">
        <v>5000</v>
      </c>
      <c r="Y4" s="70"/>
      <c r="Z4" s="70"/>
      <c r="AA4" s="70"/>
      <c r="AB4" s="90">
        <f t="shared" ref="AB4:AB7" si="2">ROUND(SUM(V4:AA4),2)</f>
        <v>5000</v>
      </c>
      <c r="AC4" s="90">
        <f>R4+IFERROR(VLOOKUP($E:$E,'（居民）工资表-4月'!$E:$AC,25,0),0)</f>
        <v>0</v>
      </c>
      <c r="AD4" s="93">
        <f t="shared" ref="AD4:AD7" si="3">ROUND(S4-T4-U4-AB4-AC4,2)</f>
        <v>10260.5</v>
      </c>
      <c r="AE4" s="94">
        <f>ROUND(MAX((AD4)*{0.03;0.1;0.2;0.25;0.3;0.35;0.45}-{0;2520;16920;31920;52920;85920;181920},0),2)</f>
        <v>307.82</v>
      </c>
      <c r="AF4" s="95">
        <f>IFERROR(VLOOKUP(E:E,'（居民）工资表-4月'!E:AF,28,0)+VLOOKUP(E:E,'（居民）工资表-4月'!E:AG,29,0),0)</f>
        <v>272.41</v>
      </c>
      <c r="AG4" s="95">
        <f t="shared" ref="AG4:AG7" si="4">IF((AE4-AF4)&lt;0,0,AE4-AF4)</f>
        <v>35.41</v>
      </c>
      <c r="AH4" s="102">
        <f t="shared" ref="AH4:AH7" si="5">ROUND(IF((L4-Q4-AG4)&lt;0,0,(L4-Q4-AG4)),2)</f>
        <v>7144.69</v>
      </c>
      <c r="AI4" s="103"/>
      <c r="AJ4" s="102">
        <f t="shared" ref="AJ4:AJ7" si="6">AH4+AI4</f>
        <v>7144.69</v>
      </c>
      <c r="AK4" s="104"/>
      <c r="AL4" s="102">
        <f t="shared" ref="AL4:AL7" si="7">AJ4+AG4+AK4</f>
        <v>7180.1</v>
      </c>
      <c r="AM4" s="104"/>
      <c r="AN4" s="104"/>
      <c r="AO4" s="104"/>
      <c r="AP4" s="104"/>
      <c r="AQ4" s="104"/>
      <c r="AR4" s="111" t="str">
        <f t="shared" ref="AR4:AR7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256" t="s">
        <v>57</v>
      </c>
      <c r="D5" s="37" t="s">
        <v>52</v>
      </c>
      <c r="E5" s="364" t="s">
        <v>58</v>
      </c>
      <c r="F5" s="38" t="str">
        <f t="shared" si="0"/>
        <v>女</v>
      </c>
      <c r="G5" s="254">
        <v>13926009696</v>
      </c>
      <c r="H5" s="255"/>
      <c r="I5" s="255"/>
      <c r="J5" s="257"/>
      <c r="K5" s="255"/>
      <c r="L5" s="258">
        <v>5800</v>
      </c>
      <c r="M5" s="258">
        <v>304.24</v>
      </c>
      <c r="N5" s="258">
        <v>123.5</v>
      </c>
      <c r="O5" s="258">
        <v>7.61</v>
      </c>
      <c r="P5" s="258">
        <v>0</v>
      </c>
      <c r="Q5" s="89">
        <f t="shared" si="1"/>
        <v>435.35</v>
      </c>
      <c r="R5" s="70">
        <v>0</v>
      </c>
      <c r="S5" s="90">
        <f>L5+IFERROR(VLOOKUP($E:$E,'（居民）工资表-4月'!$E:$S,15,0),0)</f>
        <v>29000</v>
      </c>
      <c r="T5" s="91">
        <f>5000+IFERROR(VLOOKUP($E:$E,'（居民）工资表-4月'!$E:$T,16,0),0)</f>
        <v>25000</v>
      </c>
      <c r="U5" s="91">
        <f>Q5+IFERROR(VLOOKUP($E:$E,'（居民）工资表-4月'!$E:$U,17,0),0)</f>
        <v>2176.75</v>
      </c>
      <c r="V5" s="70"/>
      <c r="W5" s="70"/>
      <c r="X5" s="70"/>
      <c r="Y5" s="70"/>
      <c r="Z5" s="70"/>
      <c r="AA5" s="70"/>
      <c r="AB5" s="90">
        <f t="shared" si="2"/>
        <v>0</v>
      </c>
      <c r="AC5" s="90">
        <f>R5+IFERROR(VLOOKUP($E:$E,'（居民）工资表-4月'!$E:$AC,25,0),0)</f>
        <v>0</v>
      </c>
      <c r="AD5" s="93">
        <f t="shared" si="3"/>
        <v>1823.25</v>
      </c>
      <c r="AE5" s="94">
        <f>ROUND(MAX((AD5)*{0.03;0.1;0.2;0.25;0.3;0.35;0.45}-{0;2520;16920;31920;52920;85920;181920},0),2)</f>
        <v>54.7</v>
      </c>
      <c r="AF5" s="95">
        <f>IFERROR(VLOOKUP(E:E,'（居民）工资表-4月'!E:AF,28,0)+VLOOKUP(E:E,'（居民）工资表-4月'!E:AG,29,0),0)</f>
        <v>43.76</v>
      </c>
      <c r="AG5" s="95">
        <f t="shared" si="4"/>
        <v>10.94</v>
      </c>
      <c r="AH5" s="102">
        <f t="shared" si="5"/>
        <v>5353.71</v>
      </c>
      <c r="AI5" s="103"/>
      <c r="AJ5" s="102">
        <f t="shared" si="6"/>
        <v>5353.71</v>
      </c>
      <c r="AK5" s="104"/>
      <c r="AL5" s="102">
        <f t="shared" si="7"/>
        <v>5364.65</v>
      </c>
      <c r="AM5" s="104"/>
      <c r="AN5" s="104"/>
      <c r="AO5" s="104"/>
      <c r="AP5" s="104"/>
      <c r="AQ5" s="104"/>
      <c r="AR5" s="111" t="str">
        <f t="shared" si="8"/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158</v>
      </c>
      <c r="D6" s="37" t="s">
        <v>52</v>
      </c>
      <c r="E6" s="37" t="s">
        <v>159</v>
      </c>
      <c r="F6" s="38" t="str">
        <f t="shared" si="0"/>
        <v>男</v>
      </c>
      <c r="G6" s="39">
        <v>13944441728</v>
      </c>
      <c r="H6" s="40"/>
      <c r="I6" s="40"/>
      <c r="J6" s="69"/>
      <c r="K6" s="40"/>
      <c r="L6" s="70">
        <v>8120</v>
      </c>
      <c r="M6" s="71">
        <f>244.24*2</f>
        <v>488.48</v>
      </c>
      <c r="N6" s="71">
        <f>61.06*2</f>
        <v>122.12</v>
      </c>
      <c r="O6" s="71">
        <f>9.16*2</f>
        <v>18.32</v>
      </c>
      <c r="P6" s="71">
        <f>79*2</f>
        <v>158</v>
      </c>
      <c r="Q6" s="89">
        <f t="shared" si="1"/>
        <v>786.92</v>
      </c>
      <c r="R6" s="70">
        <v>0</v>
      </c>
      <c r="S6" s="90">
        <f>L6+IFERROR(VLOOKUP($E:$E,'（居民）工资表-4月'!$E:$S,15,0),0)</f>
        <v>13020</v>
      </c>
      <c r="T6" s="91">
        <f>5000+IFERROR(VLOOKUP($E:$E,'（居民）工资表-4月'!$E:$T,16,0),0)</f>
        <v>10000</v>
      </c>
      <c r="U6" s="91">
        <f>Q6+IFERROR(VLOOKUP($E:$E,'（居民）工资表-4月'!$E:$U,17,0),0)</f>
        <v>786.92</v>
      </c>
      <c r="V6" s="70"/>
      <c r="W6" s="70"/>
      <c r="X6" s="70"/>
      <c r="Y6" s="70"/>
      <c r="Z6" s="70"/>
      <c r="AA6" s="70"/>
      <c r="AB6" s="90">
        <f t="shared" si="2"/>
        <v>0</v>
      </c>
      <c r="AC6" s="90">
        <f>R6+IFERROR(VLOOKUP($E:$E,'（居民）工资表-4月'!$E:$AC,25,0),0)</f>
        <v>0</v>
      </c>
      <c r="AD6" s="93">
        <f t="shared" si="3"/>
        <v>2233.08</v>
      </c>
      <c r="AE6" s="94">
        <f>ROUND(MAX((AD6)*{0.03;0.1;0.2;0.25;0.3;0.35;0.45}-{0;2520;16920;31920;52920;85920;181920},0),2)</f>
        <v>66.99</v>
      </c>
      <c r="AF6" s="95">
        <f>IFERROR(VLOOKUP(E:E,'（居民）工资表-4月'!E:AF,28,0)+VLOOKUP(E:E,'（居民）工资表-4月'!E:AG,29,0),0)</f>
        <v>0</v>
      </c>
      <c r="AG6" s="95">
        <f t="shared" si="4"/>
        <v>66.99</v>
      </c>
      <c r="AH6" s="102">
        <f t="shared" si="5"/>
        <v>7266.09</v>
      </c>
      <c r="AI6" s="103"/>
      <c r="AJ6" s="102">
        <f t="shared" si="6"/>
        <v>7266.09</v>
      </c>
      <c r="AK6" s="104"/>
      <c r="AL6" s="102">
        <f t="shared" si="7"/>
        <v>7333.08</v>
      </c>
      <c r="AM6" s="104"/>
      <c r="AN6" s="104"/>
      <c r="AO6" s="104"/>
      <c r="AP6" s="104"/>
      <c r="AQ6" s="104"/>
      <c r="AR6" s="111" t="str">
        <f t="shared" si="8"/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164</v>
      </c>
      <c r="D7" s="37" t="s">
        <v>52</v>
      </c>
      <c r="E7" s="367" t="s">
        <v>165</v>
      </c>
      <c r="F7" s="38" t="str">
        <f t="shared" si="0"/>
        <v>男</v>
      </c>
      <c r="G7" s="39"/>
      <c r="H7" s="40"/>
      <c r="I7" s="40"/>
      <c r="J7" s="69"/>
      <c r="K7" s="40"/>
      <c r="L7" s="70">
        <v>11904.76</v>
      </c>
      <c r="M7" s="71"/>
      <c r="N7" s="71"/>
      <c r="O7" s="71"/>
      <c r="P7" s="71"/>
      <c r="Q7" s="89">
        <f t="shared" si="1"/>
        <v>0</v>
      </c>
      <c r="R7" s="70">
        <v>0</v>
      </c>
      <c r="S7" s="90">
        <f>L7+IFERROR(VLOOKUP($E:$E,'（居民）工资表-4月'!$E:$S,15,0),0)</f>
        <v>11904.76</v>
      </c>
      <c r="T7" s="91">
        <f>5000+IFERROR(VLOOKUP($E:$E,'（居民）工资表-4月'!$E:$T,16,0),0)</f>
        <v>5000</v>
      </c>
      <c r="U7" s="91">
        <f>Q7+IFERROR(VLOOKUP($E:$E,'（居民）工资表-4月'!$E:$U,17,0),0)</f>
        <v>0</v>
      </c>
      <c r="V7" s="70"/>
      <c r="W7" s="70"/>
      <c r="X7" s="70"/>
      <c r="Y7" s="70"/>
      <c r="Z7" s="70"/>
      <c r="AA7" s="70"/>
      <c r="AB7" s="90">
        <f t="shared" si="2"/>
        <v>0</v>
      </c>
      <c r="AC7" s="90">
        <f>R7+IFERROR(VLOOKUP($E:$E,'（居民）工资表-4月'!$E:$AC,25,0),0)</f>
        <v>0</v>
      </c>
      <c r="AD7" s="93">
        <f t="shared" si="3"/>
        <v>6904.76</v>
      </c>
      <c r="AE7" s="94">
        <f>ROUND(MAX((AD7)*{0.03;0.1;0.2;0.25;0.3;0.35;0.45}-{0;2520;16920;31920;52920;85920;181920},0),2)</f>
        <v>207.14</v>
      </c>
      <c r="AF7" s="95">
        <f>IFERROR(VLOOKUP(E:E,'（居民）工资表-4月'!E:AF,28,0)+VLOOKUP(E:E,'（居民）工资表-4月'!E:AG,29,0),0)</f>
        <v>0</v>
      </c>
      <c r="AG7" s="95">
        <f t="shared" si="4"/>
        <v>207.14</v>
      </c>
      <c r="AH7" s="102">
        <f t="shared" si="5"/>
        <v>11697.62</v>
      </c>
      <c r="AI7" s="103"/>
      <c r="AJ7" s="102">
        <f t="shared" si="6"/>
        <v>11697.62</v>
      </c>
      <c r="AK7" s="104"/>
      <c r="AL7" s="102">
        <f t="shared" si="7"/>
        <v>11904.76</v>
      </c>
      <c r="AM7" s="104"/>
      <c r="AN7" s="104"/>
      <c r="AO7" s="104"/>
      <c r="AP7" s="104"/>
      <c r="AQ7" s="104"/>
      <c r="AR7" s="111" t="str">
        <f t="shared" si="8"/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59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9">SUM(L4:L7)</f>
        <v>33524.76</v>
      </c>
      <c r="M8" s="74">
        <f t="shared" si="9"/>
        <v>1056.72</v>
      </c>
      <c r="N8" s="74">
        <f t="shared" si="9"/>
        <v>311.62</v>
      </c>
      <c r="O8" s="74">
        <f t="shared" si="9"/>
        <v>35.83</v>
      </c>
      <c r="P8" s="74">
        <f t="shared" si="9"/>
        <v>338</v>
      </c>
      <c r="Q8" s="74">
        <f t="shared" si="9"/>
        <v>1742.17</v>
      </c>
      <c r="R8" s="74">
        <f t="shared" si="9"/>
        <v>0</v>
      </c>
      <c r="S8" s="74">
        <f t="shared" si="9"/>
        <v>96784.76</v>
      </c>
      <c r="T8" s="74">
        <f t="shared" si="9"/>
        <v>65000</v>
      </c>
      <c r="U8" s="74">
        <f t="shared" si="9"/>
        <v>5563.17</v>
      </c>
      <c r="V8" s="74">
        <f t="shared" si="9"/>
        <v>0</v>
      </c>
      <c r="W8" s="74">
        <f t="shared" si="9"/>
        <v>0</v>
      </c>
      <c r="X8" s="74">
        <f t="shared" si="9"/>
        <v>5000</v>
      </c>
      <c r="Y8" s="74">
        <f t="shared" si="9"/>
        <v>0</v>
      </c>
      <c r="Z8" s="74">
        <f t="shared" si="9"/>
        <v>0</v>
      </c>
      <c r="AA8" s="74">
        <f t="shared" si="9"/>
        <v>0</v>
      </c>
      <c r="AB8" s="74">
        <f t="shared" si="9"/>
        <v>5000</v>
      </c>
      <c r="AC8" s="74">
        <f t="shared" si="9"/>
        <v>0</v>
      </c>
      <c r="AD8" s="74">
        <f t="shared" si="9"/>
        <v>21221.59</v>
      </c>
      <c r="AE8" s="74">
        <f t="shared" si="9"/>
        <v>636.65</v>
      </c>
      <c r="AF8" s="74">
        <f t="shared" si="9"/>
        <v>316.17</v>
      </c>
      <c r="AG8" s="74">
        <f t="shared" si="9"/>
        <v>320.48</v>
      </c>
      <c r="AH8" s="74">
        <f t="shared" si="9"/>
        <v>31462.11</v>
      </c>
      <c r="AI8" s="105">
        <f t="shared" si="9"/>
        <v>0</v>
      </c>
      <c r="AJ8" s="74">
        <f t="shared" si="9"/>
        <v>31462.11</v>
      </c>
      <c r="AK8" s="74">
        <f t="shared" si="9"/>
        <v>0</v>
      </c>
      <c r="AL8" s="74">
        <f t="shared" si="9"/>
        <v>31782.59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3">
      <c r="B12" s="47" t="s">
        <v>29</v>
      </c>
      <c r="C12" s="47" t="s">
        <v>60</v>
      </c>
      <c r="D12" s="47" t="s">
        <v>30</v>
      </c>
      <c r="E12" s="47" t="s">
        <v>61</v>
      </c>
      <c r="AD12" s="10"/>
      <c r="AG12" s="19"/>
    </row>
    <row r="13" ht="18.75" customHeight="1" spans="2:5">
      <c r="B13" s="48">
        <f>AJ8</f>
        <v>31462.11</v>
      </c>
      <c r="C13" s="48">
        <f>AG8</f>
        <v>320.48</v>
      </c>
      <c r="D13" s="48">
        <f>AK8</f>
        <v>0</v>
      </c>
      <c r="E13" s="48">
        <f>B13+C13+D13</f>
        <v>31782.59</v>
      </c>
    </row>
    <row r="14" spans="2:5">
      <c r="B14" s="49"/>
      <c r="C14" s="49"/>
      <c r="D14" s="49"/>
      <c r="E14" s="49"/>
    </row>
    <row r="15" s="14" customFormat="1" spans="1:35">
      <c r="A15" s="50" t="s">
        <v>62</v>
      </c>
      <c r="B15" s="51" t="s">
        <v>63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64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65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66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67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68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69</v>
      </c>
    </row>
    <row r="23" spans="2:2">
      <c r="B23" s="59" t="s">
        <v>70</v>
      </c>
    </row>
    <row r="24" spans="2:2">
      <c r="B24" s="59" t="s">
        <v>71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2"/>
  <sheetViews>
    <sheetView workbookViewId="0">
      <selection activeCell="E21" sqref="E21"/>
    </sheetView>
  </sheetViews>
  <sheetFormatPr defaultColWidth="9" defaultRowHeight="16.5"/>
  <cols>
    <col min="1" max="1" width="5" style="160" customWidth="1"/>
    <col min="2" max="2" width="25" style="160" customWidth="1"/>
    <col min="3" max="3" width="7.375" style="160" customWidth="1"/>
    <col min="4" max="4" width="9.5" style="160" customWidth="1"/>
    <col min="5" max="5" width="8.25" style="160" customWidth="1"/>
    <col min="6" max="6" width="11.875" style="160" customWidth="1"/>
    <col min="7" max="7" width="16.375" style="160" customWidth="1"/>
    <col min="8" max="11" width="8.5" style="160" customWidth="1"/>
    <col min="12" max="12" width="9.125" style="160" customWidth="1"/>
    <col min="13" max="14" width="9.25" style="160" customWidth="1"/>
    <col min="15" max="15" width="7.5" style="160" customWidth="1"/>
    <col min="16" max="16" width="11.25" style="160" customWidth="1"/>
    <col min="17" max="17" width="9.125" style="160" customWidth="1"/>
    <col min="18" max="21" width="9.25" style="160" customWidth="1"/>
    <col min="22" max="22" width="9.125" style="160" customWidth="1"/>
    <col min="23" max="26" width="9.25" style="160" customWidth="1"/>
    <col min="27" max="28" width="9.125" style="160" customWidth="1"/>
    <col min="29" max="29" width="9" style="160" customWidth="1"/>
    <col min="30" max="30" width="9.125" style="160" customWidth="1"/>
    <col min="31" max="31" width="9.25" style="160" customWidth="1"/>
    <col min="32" max="32" width="8.875" style="160" customWidth="1"/>
    <col min="33" max="33" width="9.125" style="160" customWidth="1"/>
    <col min="34" max="34" width="9.25" style="160" customWidth="1"/>
    <col min="35" max="35" width="11.125" style="160" customWidth="1"/>
    <col min="36" max="36" width="9.25" style="160" customWidth="1"/>
    <col min="37" max="37" width="8.5" style="160" customWidth="1"/>
    <col min="38" max="38" width="9.125" style="160" hidden="1" customWidth="1"/>
    <col min="39" max="42" width="9.25" style="160" hidden="1" customWidth="1"/>
    <col min="43" max="43" width="9.875" style="160" customWidth="1"/>
    <col min="44" max="44" width="9.375" style="160" customWidth="1"/>
    <col min="45" max="45" width="10.25" style="166" customWidth="1"/>
    <col min="46" max="46" width="10" style="166" customWidth="1"/>
    <col min="47" max="49" width="9.25" style="166" customWidth="1"/>
    <col min="50" max="50" width="9.25" style="160" customWidth="1"/>
    <col min="51" max="51" width="5.875" style="160" customWidth="1"/>
    <col min="52" max="52" width="8.375" style="160" customWidth="1"/>
    <col min="53" max="53" width="5.875" style="160" customWidth="1"/>
    <col min="54" max="54" width="8.875" style="160" customWidth="1"/>
    <col min="55" max="55" width="10.875" style="160" customWidth="1"/>
    <col min="56" max="56" width="40.25" style="167" customWidth="1"/>
    <col min="57" max="57" width="10.625" style="160" customWidth="1"/>
    <col min="58" max="16384" width="9" style="160"/>
  </cols>
  <sheetData>
    <row r="1" s="159" customFormat="1" ht="22.5" customHeight="1" spans="1:56">
      <c r="A1" s="168" t="s">
        <v>2</v>
      </c>
      <c r="B1" s="169" t="s">
        <v>108</v>
      </c>
      <c r="C1" s="169" t="s">
        <v>109</v>
      </c>
      <c r="D1" s="168" t="s">
        <v>110</v>
      </c>
      <c r="E1" s="169" t="s">
        <v>111</v>
      </c>
      <c r="F1" s="169" t="s">
        <v>112</v>
      </c>
      <c r="G1" s="169" t="s">
        <v>113</v>
      </c>
      <c r="H1" s="169" t="s">
        <v>114</v>
      </c>
      <c r="I1" s="169" t="s">
        <v>115</v>
      </c>
      <c r="J1" s="169" t="s">
        <v>116</v>
      </c>
      <c r="K1" s="169" t="s">
        <v>117</v>
      </c>
      <c r="L1" s="202" t="s">
        <v>118</v>
      </c>
      <c r="M1" s="202"/>
      <c r="N1" s="202"/>
      <c r="O1" s="202"/>
      <c r="P1" s="202"/>
      <c r="Q1" s="202" t="s">
        <v>119</v>
      </c>
      <c r="R1" s="202"/>
      <c r="S1" s="202"/>
      <c r="T1" s="202"/>
      <c r="U1" s="202"/>
      <c r="V1" s="202" t="s">
        <v>120</v>
      </c>
      <c r="W1" s="202"/>
      <c r="X1" s="202"/>
      <c r="Y1" s="202"/>
      <c r="Z1" s="202"/>
      <c r="AA1" s="168" t="s">
        <v>121</v>
      </c>
      <c r="AB1" s="168"/>
      <c r="AC1" s="168"/>
      <c r="AD1" s="168" t="s">
        <v>122</v>
      </c>
      <c r="AE1" s="168"/>
      <c r="AF1" s="168"/>
      <c r="AG1" s="202" t="s">
        <v>123</v>
      </c>
      <c r="AH1" s="202"/>
      <c r="AI1" s="202"/>
      <c r="AJ1" s="202"/>
      <c r="AK1" s="202"/>
      <c r="AL1" s="168" t="s">
        <v>124</v>
      </c>
      <c r="AM1" s="168"/>
      <c r="AN1" s="168"/>
      <c r="AO1" s="168"/>
      <c r="AP1" s="168"/>
      <c r="AQ1" s="168" t="s">
        <v>125</v>
      </c>
      <c r="AR1" s="168"/>
      <c r="AS1" s="214" t="s">
        <v>126</v>
      </c>
      <c r="AT1" s="214"/>
      <c r="AU1" s="214"/>
      <c r="AV1" s="214"/>
      <c r="AW1" s="214"/>
      <c r="AX1" s="168" t="s">
        <v>127</v>
      </c>
      <c r="AY1" s="168"/>
      <c r="AZ1" s="168" t="s">
        <v>128</v>
      </c>
      <c r="BA1" s="168"/>
      <c r="BB1" s="168" t="s">
        <v>30</v>
      </c>
      <c r="BC1" s="168" t="s">
        <v>61</v>
      </c>
      <c r="BD1" s="227" t="s">
        <v>94</v>
      </c>
    </row>
    <row r="2" s="160" customFormat="1" ht="22.5" customHeight="1" spans="1:56">
      <c r="A2" s="168"/>
      <c r="B2" s="170"/>
      <c r="C2" s="169"/>
      <c r="D2" s="168"/>
      <c r="E2" s="169"/>
      <c r="F2" s="171"/>
      <c r="G2" s="171"/>
      <c r="H2" s="169"/>
      <c r="I2" s="169"/>
      <c r="J2" s="169"/>
      <c r="K2" s="169"/>
      <c r="L2" s="203" t="s">
        <v>129</v>
      </c>
      <c r="M2" s="203" t="s">
        <v>130</v>
      </c>
      <c r="N2" s="203" t="s">
        <v>131</v>
      </c>
      <c r="O2" s="203" t="s">
        <v>132</v>
      </c>
      <c r="P2" s="203" t="s">
        <v>133</v>
      </c>
      <c r="Q2" s="203" t="s">
        <v>129</v>
      </c>
      <c r="R2" s="203" t="s">
        <v>130</v>
      </c>
      <c r="S2" s="203" t="s">
        <v>131</v>
      </c>
      <c r="T2" s="203" t="s">
        <v>132</v>
      </c>
      <c r="U2" s="203" t="s">
        <v>133</v>
      </c>
      <c r="V2" s="203" t="s">
        <v>129</v>
      </c>
      <c r="W2" s="203" t="s">
        <v>130</v>
      </c>
      <c r="X2" s="203" t="s">
        <v>131</v>
      </c>
      <c r="Y2" s="203" t="s">
        <v>132</v>
      </c>
      <c r="Z2" s="203" t="s">
        <v>133</v>
      </c>
      <c r="AA2" s="203" t="s">
        <v>129</v>
      </c>
      <c r="AB2" s="203" t="s">
        <v>134</v>
      </c>
      <c r="AC2" s="203" t="s">
        <v>93</v>
      </c>
      <c r="AD2" s="203" t="s">
        <v>129</v>
      </c>
      <c r="AE2" s="203" t="s">
        <v>134</v>
      </c>
      <c r="AF2" s="203" t="s">
        <v>93</v>
      </c>
      <c r="AG2" s="203" t="s">
        <v>129</v>
      </c>
      <c r="AH2" s="203" t="s">
        <v>130</v>
      </c>
      <c r="AI2" s="203" t="s">
        <v>131</v>
      </c>
      <c r="AJ2" s="203" t="s">
        <v>132</v>
      </c>
      <c r="AK2" s="203" t="s">
        <v>133</v>
      </c>
      <c r="AL2" s="203" t="s">
        <v>129</v>
      </c>
      <c r="AM2" s="203" t="s">
        <v>130</v>
      </c>
      <c r="AN2" s="203" t="s">
        <v>131</v>
      </c>
      <c r="AO2" s="203" t="s">
        <v>132</v>
      </c>
      <c r="AP2" s="203" t="s">
        <v>133</v>
      </c>
      <c r="AQ2" s="203" t="s">
        <v>135</v>
      </c>
      <c r="AR2" s="203" t="s">
        <v>136</v>
      </c>
      <c r="AS2" s="215" t="s">
        <v>137</v>
      </c>
      <c r="AT2" s="215" t="s">
        <v>138</v>
      </c>
      <c r="AU2" s="215" t="s">
        <v>139</v>
      </c>
      <c r="AV2" s="215" t="s">
        <v>43</v>
      </c>
      <c r="AW2" s="215" t="s">
        <v>101</v>
      </c>
      <c r="AX2" s="168"/>
      <c r="AY2" s="168"/>
      <c r="AZ2" s="168"/>
      <c r="BA2" s="168"/>
      <c r="BB2" s="168"/>
      <c r="BC2" s="168"/>
      <c r="BD2" s="227"/>
    </row>
    <row r="3" s="161" customFormat="1" ht="18" customHeight="1" spans="1:60">
      <c r="A3" s="172">
        <v>1</v>
      </c>
      <c r="B3" s="142" t="s">
        <v>140</v>
      </c>
      <c r="C3" s="131" t="s">
        <v>141</v>
      </c>
      <c r="D3" s="141" t="s">
        <v>142</v>
      </c>
      <c r="E3" s="142" t="s">
        <v>143</v>
      </c>
      <c r="F3" s="143" t="s">
        <v>51</v>
      </c>
      <c r="G3" s="144" t="s">
        <v>53</v>
      </c>
      <c r="H3" s="141" t="s">
        <v>144</v>
      </c>
      <c r="I3" s="141" t="s">
        <v>144</v>
      </c>
      <c r="J3" s="141" t="s">
        <v>162</v>
      </c>
      <c r="K3" s="141" t="s">
        <v>162</v>
      </c>
      <c r="L3" s="172">
        <v>3300</v>
      </c>
      <c r="M3" s="172">
        <v>0.16</v>
      </c>
      <c r="N3" s="172">
        <f>ROUND(L3*M3,2)</f>
        <v>528</v>
      </c>
      <c r="O3" s="172">
        <v>0.08</v>
      </c>
      <c r="P3" s="172">
        <f>ROUND(L3*O3,2)</f>
        <v>264</v>
      </c>
      <c r="Q3" s="172">
        <v>3300</v>
      </c>
      <c r="R3" s="172">
        <v>0.08</v>
      </c>
      <c r="S3" s="172">
        <f>ROUND(Q3*R3,2)</f>
        <v>264</v>
      </c>
      <c r="T3" s="172">
        <v>0.02</v>
      </c>
      <c r="U3" s="172">
        <f>ROUND(Q3*T3,2)</f>
        <v>66</v>
      </c>
      <c r="V3" s="172">
        <v>3300</v>
      </c>
      <c r="W3" s="172">
        <v>0.007</v>
      </c>
      <c r="X3" s="172">
        <f>ROUND(V3*W3,2)</f>
        <v>23.1</v>
      </c>
      <c r="Y3" s="172">
        <v>0.003</v>
      </c>
      <c r="Z3" s="172">
        <f>ROUND(V3*Y3,2)</f>
        <v>9.9</v>
      </c>
      <c r="AA3" s="172"/>
      <c r="AB3" s="172"/>
      <c r="AC3" s="172"/>
      <c r="AD3" s="172">
        <v>3300</v>
      </c>
      <c r="AE3" s="172">
        <v>0.002</v>
      </c>
      <c r="AF3" s="172">
        <f>ROUND(AD3*AE3,2)</f>
        <v>6.6</v>
      </c>
      <c r="AG3" s="172">
        <v>3000</v>
      </c>
      <c r="AH3" s="172">
        <v>0.1</v>
      </c>
      <c r="AI3" s="172">
        <f>ROUND(AG3*AH3,2)</f>
        <v>300</v>
      </c>
      <c r="AJ3" s="172">
        <v>0.06</v>
      </c>
      <c r="AK3" s="172">
        <f>ROUND(AG3*AJ3,2)</f>
        <v>180</v>
      </c>
      <c r="AL3" s="210"/>
      <c r="AM3" s="172"/>
      <c r="AN3" s="172"/>
      <c r="AO3" s="172"/>
      <c r="AP3" s="142" t="s">
        <v>146</v>
      </c>
      <c r="AQ3" s="216">
        <v>5</v>
      </c>
      <c r="AR3" s="172"/>
      <c r="AS3" s="217">
        <f>N3+S3+X3+AC3+AF3+AN3+AQ3</f>
        <v>826.7</v>
      </c>
      <c r="AT3" s="217">
        <f>P3+U3+Z3</f>
        <v>339.9</v>
      </c>
      <c r="AU3" s="217">
        <f>AI3</f>
        <v>300</v>
      </c>
      <c r="AV3" s="217">
        <f>AK3</f>
        <v>180</v>
      </c>
      <c r="AW3" s="217">
        <f>AV3+AS3+AT3+AU3</f>
        <v>1646.6</v>
      </c>
      <c r="AX3" s="228">
        <f>AS3+AT3</f>
        <v>1166.6</v>
      </c>
      <c r="AY3" s="228"/>
      <c r="AZ3" s="228">
        <f>AU3+AV3</f>
        <v>480</v>
      </c>
      <c r="BA3" s="228"/>
      <c r="BB3" s="229">
        <v>80</v>
      </c>
      <c r="BC3" s="228">
        <f>AX3+AZ3+BB3</f>
        <v>1726.6</v>
      </c>
      <c r="BD3" s="230"/>
      <c r="BE3" s="247"/>
      <c r="BF3" s="248"/>
      <c r="BG3" s="248"/>
      <c r="BH3" s="249" t="s">
        <v>146</v>
      </c>
    </row>
    <row r="4" s="161" customFormat="1" ht="18" customHeight="1" spans="1:60">
      <c r="A4" s="172"/>
      <c r="B4" s="142" t="s">
        <v>140</v>
      </c>
      <c r="C4" s="131" t="s">
        <v>141</v>
      </c>
      <c r="D4" s="141" t="s">
        <v>142</v>
      </c>
      <c r="E4" s="142" t="s">
        <v>143</v>
      </c>
      <c r="F4" s="143" t="s">
        <v>51</v>
      </c>
      <c r="G4" s="144" t="s">
        <v>53</v>
      </c>
      <c r="H4" s="141" t="s">
        <v>144</v>
      </c>
      <c r="I4" s="141" t="s">
        <v>144</v>
      </c>
      <c r="J4" s="141" t="s">
        <v>166</v>
      </c>
      <c r="K4" s="141" t="s">
        <v>166</v>
      </c>
      <c r="L4" s="172">
        <v>3300</v>
      </c>
      <c r="M4" s="172">
        <v>0.16</v>
      </c>
      <c r="N4" s="172">
        <f>ROUND(L4*M4,2)</f>
        <v>528</v>
      </c>
      <c r="O4" s="172">
        <v>0.08</v>
      </c>
      <c r="P4" s="172">
        <f>ROUND(L4*O4,2)</f>
        <v>264</v>
      </c>
      <c r="Q4" s="172">
        <v>3300</v>
      </c>
      <c r="R4" s="172">
        <v>0.08</v>
      </c>
      <c r="S4" s="172">
        <f>ROUND(Q4*R4,2)</f>
        <v>264</v>
      </c>
      <c r="T4" s="172">
        <v>0.02</v>
      </c>
      <c r="U4" s="172">
        <f>ROUND(Q4*T4,2)</f>
        <v>66</v>
      </c>
      <c r="V4" s="172">
        <v>3300</v>
      </c>
      <c r="W4" s="172">
        <v>0.007</v>
      </c>
      <c r="X4" s="172">
        <f>ROUND(V4*W4,2)</f>
        <v>23.1</v>
      </c>
      <c r="Y4" s="172">
        <v>0.003</v>
      </c>
      <c r="Z4" s="172">
        <f>ROUND(V4*Y4,2)</f>
        <v>9.9</v>
      </c>
      <c r="AA4" s="172"/>
      <c r="AB4" s="172"/>
      <c r="AC4" s="172"/>
      <c r="AD4" s="172">
        <v>3300</v>
      </c>
      <c r="AE4" s="172">
        <v>0.002</v>
      </c>
      <c r="AF4" s="172">
        <f>ROUND(AD4*AE4,2)</f>
        <v>6.6</v>
      </c>
      <c r="AG4" s="172">
        <v>3000</v>
      </c>
      <c r="AH4" s="172">
        <v>0.1</v>
      </c>
      <c r="AI4" s="172">
        <f>ROUND(AG4*AH4,2)</f>
        <v>300</v>
      </c>
      <c r="AJ4" s="172">
        <v>0.06</v>
      </c>
      <c r="AK4" s="172">
        <f>ROUND(AG4*AJ4,2)</f>
        <v>180</v>
      </c>
      <c r="AL4" s="210"/>
      <c r="AM4" s="172"/>
      <c r="AN4" s="172"/>
      <c r="AO4" s="172"/>
      <c r="AP4" s="142" t="s">
        <v>146</v>
      </c>
      <c r="AQ4" s="216">
        <v>5</v>
      </c>
      <c r="AR4" s="172"/>
      <c r="AS4" s="217">
        <f>N4+S4+X4+AC4+AF4+AN4+AQ4</f>
        <v>826.7</v>
      </c>
      <c r="AT4" s="217">
        <f>P4+U4+Z4</f>
        <v>339.9</v>
      </c>
      <c r="AU4" s="217">
        <f>AI4</f>
        <v>300</v>
      </c>
      <c r="AV4" s="217">
        <f>AK4</f>
        <v>180</v>
      </c>
      <c r="AW4" s="217">
        <f>AV4+AS4+AT4+AU4</f>
        <v>1646.6</v>
      </c>
      <c r="AX4" s="228">
        <f>AS4+AT4</f>
        <v>1166.6</v>
      </c>
      <c r="AY4" s="228"/>
      <c r="AZ4" s="228">
        <f>AU4+AV4</f>
        <v>480</v>
      </c>
      <c r="BA4" s="228"/>
      <c r="BB4" s="229">
        <v>80</v>
      </c>
      <c r="BC4" s="228">
        <f>AX4+AZ4+BB4</f>
        <v>1726.6</v>
      </c>
      <c r="BD4" s="230"/>
      <c r="BE4" s="247"/>
      <c r="BF4" s="248"/>
      <c r="BG4" s="248"/>
      <c r="BH4" s="249" t="s">
        <v>146</v>
      </c>
    </row>
    <row r="5" s="161" customFormat="1" ht="18" customHeight="1" spans="1:60">
      <c r="A5" s="172"/>
      <c r="B5" s="142" t="s">
        <v>140</v>
      </c>
      <c r="C5" s="131" t="s">
        <v>141</v>
      </c>
      <c r="D5" s="141" t="s">
        <v>142</v>
      </c>
      <c r="E5" s="142" t="s">
        <v>143</v>
      </c>
      <c r="F5" s="143" t="s">
        <v>51</v>
      </c>
      <c r="G5" s="144" t="s">
        <v>53</v>
      </c>
      <c r="H5" s="141" t="s">
        <v>144</v>
      </c>
      <c r="I5" s="141" t="s">
        <v>144</v>
      </c>
      <c r="J5" s="141" t="s">
        <v>167</v>
      </c>
      <c r="K5" s="141" t="s">
        <v>167</v>
      </c>
      <c r="L5" s="172">
        <v>3300</v>
      </c>
      <c r="M5" s="172">
        <v>0.16</v>
      </c>
      <c r="N5" s="172">
        <f>ROUND(L5*M5,2)</f>
        <v>528</v>
      </c>
      <c r="O5" s="172">
        <v>0.08</v>
      </c>
      <c r="P5" s="172">
        <f>ROUND(L5*O5,2)</f>
        <v>264</v>
      </c>
      <c r="Q5" s="172">
        <v>3300</v>
      </c>
      <c r="R5" s="172">
        <v>0.08</v>
      </c>
      <c r="S5" s="172">
        <f>ROUND(Q5*R5,2)</f>
        <v>264</v>
      </c>
      <c r="T5" s="172">
        <v>0.02</v>
      </c>
      <c r="U5" s="172">
        <f>ROUND(Q5*T5,2)</f>
        <v>66</v>
      </c>
      <c r="V5" s="172">
        <v>3300</v>
      </c>
      <c r="W5" s="172">
        <v>0.007</v>
      </c>
      <c r="X5" s="172">
        <f>ROUND(V5*W5,2)</f>
        <v>23.1</v>
      </c>
      <c r="Y5" s="172">
        <v>0.003</v>
      </c>
      <c r="Z5" s="172">
        <f>ROUND(V5*Y5,2)</f>
        <v>9.9</v>
      </c>
      <c r="AA5" s="172"/>
      <c r="AB5" s="172"/>
      <c r="AC5" s="172"/>
      <c r="AD5" s="172">
        <v>3300</v>
      </c>
      <c r="AE5" s="172">
        <v>0.002</v>
      </c>
      <c r="AF5" s="172">
        <f>ROUND(AD5*AE5,2)</f>
        <v>6.6</v>
      </c>
      <c r="AG5" s="172">
        <v>3000</v>
      </c>
      <c r="AH5" s="172">
        <v>0.1</v>
      </c>
      <c r="AI5" s="172">
        <f>ROUND(AG5*AH5,2)</f>
        <v>300</v>
      </c>
      <c r="AJ5" s="172">
        <v>0.06</v>
      </c>
      <c r="AK5" s="172">
        <f>ROUND(AG5*AJ5,2)</f>
        <v>180</v>
      </c>
      <c r="AL5" s="210"/>
      <c r="AM5" s="172"/>
      <c r="AN5" s="172"/>
      <c r="AO5" s="172"/>
      <c r="AP5" s="142" t="s">
        <v>146</v>
      </c>
      <c r="AQ5" s="216">
        <v>5</v>
      </c>
      <c r="AR5" s="172"/>
      <c r="AS5" s="217">
        <f>N5+S5+X5+AC5+AF5+AN5+AQ5</f>
        <v>826.7</v>
      </c>
      <c r="AT5" s="217">
        <f>P5+U5+Z5</f>
        <v>339.9</v>
      </c>
      <c r="AU5" s="217">
        <f>AI5</f>
        <v>300</v>
      </c>
      <c r="AV5" s="217">
        <f>AK5</f>
        <v>180</v>
      </c>
      <c r="AW5" s="217">
        <f>AV5+AS5+AT5+AU5</f>
        <v>1646.6</v>
      </c>
      <c r="AX5" s="228">
        <f>AS5+AT5</f>
        <v>1166.6</v>
      </c>
      <c r="AY5" s="228"/>
      <c r="AZ5" s="228">
        <f>AU5+AV5</f>
        <v>480</v>
      </c>
      <c r="BA5" s="228"/>
      <c r="BB5" s="229">
        <v>80</v>
      </c>
      <c r="BC5" s="228">
        <f>AX5+AZ5+BB5</f>
        <v>1726.6</v>
      </c>
      <c r="BD5" s="230"/>
      <c r="BE5" s="247"/>
      <c r="BF5" s="248"/>
      <c r="BG5" s="248"/>
      <c r="BH5" s="249" t="s">
        <v>146</v>
      </c>
    </row>
    <row r="6" s="161" customFormat="1" ht="18" customHeight="1" spans="1:60">
      <c r="A6" s="172">
        <v>2</v>
      </c>
      <c r="B6" s="142" t="s">
        <v>140</v>
      </c>
      <c r="C6" s="131" t="s">
        <v>157</v>
      </c>
      <c r="D6" s="141" t="s">
        <v>142</v>
      </c>
      <c r="E6" s="142" t="s">
        <v>150</v>
      </c>
      <c r="F6" s="143" t="s">
        <v>158</v>
      </c>
      <c r="G6" s="144" t="s">
        <v>159</v>
      </c>
      <c r="H6" s="141" t="s">
        <v>160</v>
      </c>
      <c r="I6" s="141" t="s">
        <v>160</v>
      </c>
      <c r="J6" s="141" t="s">
        <v>166</v>
      </c>
      <c r="K6" s="141" t="s">
        <v>166</v>
      </c>
      <c r="L6" s="172">
        <v>3053.05</v>
      </c>
      <c r="M6" s="172">
        <v>0.16</v>
      </c>
      <c r="N6" s="172">
        <f t="shared" ref="N6:N14" si="0">ROUND(L6*M6,2)</f>
        <v>488.49</v>
      </c>
      <c r="O6" s="172">
        <v>0.08</v>
      </c>
      <c r="P6" s="172">
        <f t="shared" ref="P6:P14" si="1">ROUND(L6*O6,2)</f>
        <v>244.24</v>
      </c>
      <c r="Q6" s="172">
        <v>3053.05</v>
      </c>
      <c r="R6" s="172">
        <v>0.06</v>
      </c>
      <c r="S6" s="172">
        <f t="shared" ref="S6:S14" si="2">ROUND(Q6*R6,2)</f>
        <v>183.18</v>
      </c>
      <c r="T6" s="172">
        <v>0.02</v>
      </c>
      <c r="U6" s="172">
        <f t="shared" ref="U6:U14" si="3">ROUND(Q6*T6,2)</f>
        <v>61.06</v>
      </c>
      <c r="V6" s="172">
        <v>3053.05</v>
      </c>
      <c r="W6" s="172">
        <v>0.007</v>
      </c>
      <c r="X6" s="172">
        <f t="shared" ref="X6:X14" si="4">ROUND(V6*W6,2)</f>
        <v>21.37</v>
      </c>
      <c r="Y6" s="172">
        <v>0.003</v>
      </c>
      <c r="Z6" s="172">
        <f t="shared" ref="Z6:Z14" si="5">ROUND(V6*Y6,2)</f>
        <v>9.16</v>
      </c>
      <c r="AA6" s="172">
        <v>3053.05</v>
      </c>
      <c r="AB6" s="172">
        <v>0.007</v>
      </c>
      <c r="AC6" s="172">
        <f>ROUND(AA6*AB6,2)</f>
        <v>21.37</v>
      </c>
      <c r="AD6" s="172">
        <v>3053.05</v>
      </c>
      <c r="AE6" s="172">
        <v>0.002</v>
      </c>
      <c r="AF6" s="172">
        <f t="shared" ref="AF6:AF14" si="6">ROUND(AD6*AE6,2)</f>
        <v>6.11</v>
      </c>
      <c r="AG6" s="172" t="s">
        <v>161</v>
      </c>
      <c r="AH6" s="172">
        <v>0.05</v>
      </c>
      <c r="AI6" s="172">
        <f t="shared" ref="AI6:AI14" si="7">ROUND(AG6*AH6,2)</f>
        <v>79</v>
      </c>
      <c r="AJ6" s="172">
        <v>0.05</v>
      </c>
      <c r="AK6" s="172">
        <f t="shared" ref="AK6:AK14" si="8">ROUND(AG6*AJ6,2)</f>
        <v>79</v>
      </c>
      <c r="AL6" s="210"/>
      <c r="AM6" s="172"/>
      <c r="AN6" s="172"/>
      <c r="AO6" s="172"/>
      <c r="AP6" s="142"/>
      <c r="AQ6" s="216"/>
      <c r="AR6" s="172"/>
      <c r="AS6" s="217">
        <f t="shared" ref="AS6:AS14" si="9">N6+S6+X6+AC6+AF6+AN6+AQ6</f>
        <v>720.52</v>
      </c>
      <c r="AT6" s="217">
        <f t="shared" ref="AT6:AT14" si="10">P6+U6+Z6</f>
        <v>314.46</v>
      </c>
      <c r="AU6" s="217">
        <f t="shared" ref="AU6:AU14" si="11">AI6</f>
        <v>79</v>
      </c>
      <c r="AV6" s="217">
        <f t="shared" ref="AV6:AV14" si="12">AK6</f>
        <v>79</v>
      </c>
      <c r="AW6" s="217">
        <f t="shared" ref="AW6:AW14" si="13">AV6+AS6+AT6+AU6</f>
        <v>1192.98</v>
      </c>
      <c r="AX6" s="228">
        <f t="shared" ref="AX6:AX14" si="14">AS6+AT6</f>
        <v>1034.98</v>
      </c>
      <c r="AY6" s="228"/>
      <c r="AZ6" s="228">
        <f t="shared" ref="AZ6:AZ14" si="15">AU6+AV6</f>
        <v>158</v>
      </c>
      <c r="BA6" s="228"/>
      <c r="BB6" s="229">
        <v>80</v>
      </c>
      <c r="BC6" s="228">
        <f t="shared" ref="BC6:BC14" si="16">AX6+AZ6+BB6</f>
        <v>1272.98</v>
      </c>
      <c r="BD6" s="230"/>
      <c r="BE6" s="250"/>
      <c r="BF6" s="250"/>
      <c r="BG6" s="250"/>
      <c r="BH6" s="250"/>
    </row>
    <row r="7" s="161" customFormat="1" ht="18" customHeight="1" spans="1:60">
      <c r="A7" s="172"/>
      <c r="B7" s="142" t="s">
        <v>140</v>
      </c>
      <c r="C7" s="131" t="s">
        <v>157</v>
      </c>
      <c r="D7" s="141" t="s">
        <v>142</v>
      </c>
      <c r="E7" s="142" t="s">
        <v>150</v>
      </c>
      <c r="F7" s="143" t="s">
        <v>158</v>
      </c>
      <c r="G7" s="144" t="s">
        <v>159</v>
      </c>
      <c r="H7" s="141" t="s">
        <v>160</v>
      </c>
      <c r="I7" s="141" t="s">
        <v>160</v>
      </c>
      <c r="J7" s="141" t="s">
        <v>167</v>
      </c>
      <c r="K7" s="141" t="s">
        <v>167</v>
      </c>
      <c r="L7" s="172">
        <v>3053.05</v>
      </c>
      <c r="M7" s="172">
        <v>0.16</v>
      </c>
      <c r="N7" s="172">
        <f t="shared" si="0"/>
        <v>488.49</v>
      </c>
      <c r="O7" s="172">
        <v>0.08</v>
      </c>
      <c r="P7" s="172">
        <f t="shared" si="1"/>
        <v>244.24</v>
      </c>
      <c r="Q7" s="172">
        <v>3053.05</v>
      </c>
      <c r="R7" s="172">
        <v>0.06</v>
      </c>
      <c r="S7" s="172">
        <f t="shared" si="2"/>
        <v>183.18</v>
      </c>
      <c r="T7" s="172">
        <v>0.02</v>
      </c>
      <c r="U7" s="172">
        <f t="shared" si="3"/>
        <v>61.06</v>
      </c>
      <c r="V7" s="172">
        <v>3053.05</v>
      </c>
      <c r="W7" s="172">
        <v>0.007</v>
      </c>
      <c r="X7" s="172">
        <f t="shared" si="4"/>
        <v>21.37</v>
      </c>
      <c r="Y7" s="172">
        <v>0.003</v>
      </c>
      <c r="Z7" s="172">
        <f t="shared" si="5"/>
        <v>9.16</v>
      </c>
      <c r="AA7" s="172">
        <v>3053.05</v>
      </c>
      <c r="AB7" s="172">
        <v>0.007</v>
      </c>
      <c r="AC7" s="172">
        <f>ROUND(AA7*AB7,2)</f>
        <v>21.37</v>
      </c>
      <c r="AD7" s="172">
        <v>3053.05</v>
      </c>
      <c r="AE7" s="172">
        <v>0.002</v>
      </c>
      <c r="AF7" s="172">
        <f t="shared" si="6"/>
        <v>6.11</v>
      </c>
      <c r="AG7" s="172" t="s">
        <v>161</v>
      </c>
      <c r="AH7" s="172">
        <v>0.05</v>
      </c>
      <c r="AI7" s="172">
        <f t="shared" si="7"/>
        <v>79</v>
      </c>
      <c r="AJ7" s="172">
        <v>0.05</v>
      </c>
      <c r="AK7" s="172">
        <f t="shared" si="8"/>
        <v>79</v>
      </c>
      <c r="AL7" s="210"/>
      <c r="AM7" s="172"/>
      <c r="AN7" s="172"/>
      <c r="AO7" s="172"/>
      <c r="AP7" s="142"/>
      <c r="AQ7" s="216"/>
      <c r="AR7" s="216"/>
      <c r="AS7" s="217">
        <f t="shared" si="9"/>
        <v>720.52</v>
      </c>
      <c r="AT7" s="217">
        <f t="shared" si="10"/>
        <v>314.46</v>
      </c>
      <c r="AU7" s="217">
        <f t="shared" si="11"/>
        <v>79</v>
      </c>
      <c r="AV7" s="217">
        <f t="shared" si="12"/>
        <v>79</v>
      </c>
      <c r="AW7" s="217">
        <f t="shared" si="13"/>
        <v>1192.98</v>
      </c>
      <c r="AX7" s="228">
        <f t="shared" si="14"/>
        <v>1034.98</v>
      </c>
      <c r="AY7" s="228"/>
      <c r="AZ7" s="228">
        <f t="shared" si="15"/>
        <v>158</v>
      </c>
      <c r="BA7" s="228"/>
      <c r="BB7" s="229">
        <v>80</v>
      </c>
      <c r="BC7" s="228">
        <f t="shared" si="16"/>
        <v>1272.98</v>
      </c>
      <c r="BD7" s="230"/>
      <c r="BE7" s="250"/>
      <c r="BF7" s="250"/>
      <c r="BG7" s="250"/>
      <c r="BH7" s="250"/>
    </row>
    <row r="8" s="161" customFormat="1" ht="18" customHeight="1" spans="1:60">
      <c r="A8" s="172"/>
      <c r="B8" s="142" t="s">
        <v>140</v>
      </c>
      <c r="C8" s="131" t="s">
        <v>157</v>
      </c>
      <c r="D8" s="141" t="s">
        <v>142</v>
      </c>
      <c r="E8" s="142" t="s">
        <v>150</v>
      </c>
      <c r="F8" s="143" t="s">
        <v>158</v>
      </c>
      <c r="G8" s="144" t="s">
        <v>159</v>
      </c>
      <c r="H8" s="141" t="s">
        <v>160</v>
      </c>
      <c r="I8" s="141" t="s">
        <v>160</v>
      </c>
      <c r="J8" s="141" t="s">
        <v>144</v>
      </c>
      <c r="K8" s="141" t="s">
        <v>144</v>
      </c>
      <c r="L8" s="172">
        <v>3053.05</v>
      </c>
      <c r="M8" s="172">
        <v>0.16</v>
      </c>
      <c r="N8" s="172">
        <f t="shared" si="0"/>
        <v>488.49</v>
      </c>
      <c r="O8" s="172">
        <v>0.08</v>
      </c>
      <c r="P8" s="172">
        <f t="shared" si="1"/>
        <v>244.24</v>
      </c>
      <c r="Q8" s="172">
        <v>3053.05</v>
      </c>
      <c r="R8" s="172">
        <v>0.06</v>
      </c>
      <c r="S8" s="172">
        <f t="shared" si="2"/>
        <v>183.18</v>
      </c>
      <c r="T8" s="172">
        <v>0.02</v>
      </c>
      <c r="U8" s="172">
        <f t="shared" si="3"/>
        <v>61.06</v>
      </c>
      <c r="V8" s="172">
        <v>3053.05</v>
      </c>
      <c r="W8" s="172">
        <v>0.007</v>
      </c>
      <c r="X8" s="172">
        <f t="shared" si="4"/>
        <v>21.37</v>
      </c>
      <c r="Y8" s="172">
        <v>0.003</v>
      </c>
      <c r="Z8" s="172">
        <f t="shared" si="5"/>
        <v>9.16</v>
      </c>
      <c r="AA8" s="172">
        <v>3053.05</v>
      </c>
      <c r="AB8" s="172">
        <v>0.007</v>
      </c>
      <c r="AC8" s="172">
        <f>ROUND(AA8*AB8,2)</f>
        <v>21.37</v>
      </c>
      <c r="AD8" s="172">
        <v>3053.05</v>
      </c>
      <c r="AE8" s="172">
        <v>0.002</v>
      </c>
      <c r="AF8" s="172">
        <f t="shared" si="6"/>
        <v>6.11</v>
      </c>
      <c r="AG8" s="172" t="s">
        <v>161</v>
      </c>
      <c r="AH8" s="172">
        <v>0.05</v>
      </c>
      <c r="AI8" s="172">
        <f t="shared" si="7"/>
        <v>79</v>
      </c>
      <c r="AJ8" s="172">
        <v>0.05</v>
      </c>
      <c r="AK8" s="172">
        <f t="shared" si="8"/>
        <v>79</v>
      </c>
      <c r="AL8" s="210"/>
      <c r="AM8" s="172"/>
      <c r="AN8" s="172"/>
      <c r="AO8" s="172"/>
      <c r="AP8" s="142"/>
      <c r="AQ8" s="216"/>
      <c r="AR8" s="216"/>
      <c r="AS8" s="217">
        <f t="shared" si="9"/>
        <v>720.52</v>
      </c>
      <c r="AT8" s="217">
        <f t="shared" si="10"/>
        <v>314.46</v>
      </c>
      <c r="AU8" s="217">
        <f t="shared" si="11"/>
        <v>79</v>
      </c>
      <c r="AV8" s="217">
        <f t="shared" si="12"/>
        <v>79</v>
      </c>
      <c r="AW8" s="217">
        <f t="shared" si="13"/>
        <v>1192.98</v>
      </c>
      <c r="AX8" s="228">
        <f t="shared" si="14"/>
        <v>1034.98</v>
      </c>
      <c r="AY8" s="228"/>
      <c r="AZ8" s="228">
        <f t="shared" si="15"/>
        <v>158</v>
      </c>
      <c r="BA8" s="228"/>
      <c r="BB8" s="229">
        <v>80</v>
      </c>
      <c r="BC8" s="228">
        <f t="shared" si="16"/>
        <v>1272.98</v>
      </c>
      <c r="BD8" s="230"/>
      <c r="BE8" s="250"/>
      <c r="BF8" s="250"/>
      <c r="BG8" s="250"/>
      <c r="BH8" s="250"/>
    </row>
    <row r="9" s="162" customFormat="1" ht="18" customHeight="1" spans="1:60">
      <c r="A9" s="173">
        <v>3</v>
      </c>
      <c r="B9" s="174" t="s">
        <v>140</v>
      </c>
      <c r="C9" s="126" t="s">
        <v>168</v>
      </c>
      <c r="D9" s="175" t="s">
        <v>142</v>
      </c>
      <c r="E9" s="174" t="s">
        <v>150</v>
      </c>
      <c r="F9" s="176" t="s">
        <v>164</v>
      </c>
      <c r="G9" s="177" t="s">
        <v>165</v>
      </c>
      <c r="H9" s="175" t="s">
        <v>169</v>
      </c>
      <c r="I9" s="175" t="s">
        <v>169</v>
      </c>
      <c r="J9" s="175" t="s">
        <v>166</v>
      </c>
      <c r="K9" s="175" t="s">
        <v>170</v>
      </c>
      <c r="L9" s="173">
        <v>4000</v>
      </c>
      <c r="M9" s="173">
        <v>0.16</v>
      </c>
      <c r="N9" s="173">
        <f t="shared" si="0"/>
        <v>640</v>
      </c>
      <c r="O9" s="173">
        <v>0.08</v>
      </c>
      <c r="P9" s="173">
        <f t="shared" si="1"/>
        <v>320</v>
      </c>
      <c r="Q9" s="173">
        <v>4000</v>
      </c>
      <c r="R9" s="173">
        <v>0.087</v>
      </c>
      <c r="S9" s="173">
        <f t="shared" si="2"/>
        <v>348</v>
      </c>
      <c r="T9" s="173">
        <v>0.02</v>
      </c>
      <c r="U9" s="173">
        <f t="shared" si="3"/>
        <v>80</v>
      </c>
      <c r="V9" s="173">
        <v>4000</v>
      </c>
      <c r="W9" s="173">
        <v>0.007</v>
      </c>
      <c r="X9" s="173">
        <f t="shared" si="4"/>
        <v>28</v>
      </c>
      <c r="Y9" s="173">
        <v>0.003</v>
      </c>
      <c r="Z9" s="173">
        <f t="shared" si="5"/>
        <v>12</v>
      </c>
      <c r="AA9" s="173"/>
      <c r="AB9" s="173"/>
      <c r="AC9" s="173"/>
      <c r="AD9" s="173">
        <v>4000</v>
      </c>
      <c r="AE9" s="173">
        <v>0.0056</v>
      </c>
      <c r="AF9" s="173">
        <f t="shared" si="6"/>
        <v>22.4</v>
      </c>
      <c r="AG9" s="173">
        <v>4000</v>
      </c>
      <c r="AH9" s="173">
        <v>0.05</v>
      </c>
      <c r="AI9" s="173">
        <f t="shared" si="7"/>
        <v>200</v>
      </c>
      <c r="AJ9" s="173">
        <v>0.05</v>
      </c>
      <c r="AK9" s="173">
        <f t="shared" si="8"/>
        <v>200</v>
      </c>
      <c r="AL9" s="211"/>
      <c r="AM9" s="173"/>
      <c r="AN9" s="173"/>
      <c r="AO9" s="173"/>
      <c r="AP9" s="174"/>
      <c r="AQ9" s="218"/>
      <c r="AR9" s="218"/>
      <c r="AS9" s="219">
        <f t="shared" si="9"/>
        <v>1038.4</v>
      </c>
      <c r="AT9" s="219">
        <f t="shared" si="10"/>
        <v>412</v>
      </c>
      <c r="AU9" s="219">
        <f t="shared" si="11"/>
        <v>200</v>
      </c>
      <c r="AV9" s="219">
        <f t="shared" si="12"/>
        <v>200</v>
      </c>
      <c r="AW9" s="219">
        <f t="shared" si="13"/>
        <v>1850.4</v>
      </c>
      <c r="AX9" s="231">
        <f t="shared" si="14"/>
        <v>1450.4</v>
      </c>
      <c r="AY9" s="231"/>
      <c r="AZ9" s="231">
        <f t="shared" si="15"/>
        <v>400</v>
      </c>
      <c r="BA9" s="231"/>
      <c r="BB9" s="232">
        <v>80</v>
      </c>
      <c r="BC9" s="231">
        <f t="shared" si="16"/>
        <v>1930.4</v>
      </c>
      <c r="BD9" s="233"/>
      <c r="BE9" s="251"/>
      <c r="BF9" s="251"/>
      <c r="BG9" s="251"/>
      <c r="BH9" s="251"/>
    </row>
    <row r="10" s="162" customFormat="1" ht="18" customHeight="1" spans="1:60">
      <c r="A10" s="173"/>
      <c r="B10" s="174" t="s">
        <v>140</v>
      </c>
      <c r="C10" s="126" t="s">
        <v>168</v>
      </c>
      <c r="D10" s="175" t="s">
        <v>142</v>
      </c>
      <c r="E10" s="174" t="s">
        <v>150</v>
      </c>
      <c r="F10" s="176" t="s">
        <v>164</v>
      </c>
      <c r="G10" s="177" t="s">
        <v>165</v>
      </c>
      <c r="H10" s="175" t="s">
        <v>169</v>
      </c>
      <c r="I10" s="175" t="s">
        <v>169</v>
      </c>
      <c r="J10" s="175" t="s">
        <v>167</v>
      </c>
      <c r="K10" s="175" t="s">
        <v>171</v>
      </c>
      <c r="L10" s="173">
        <v>4000</v>
      </c>
      <c r="M10" s="173">
        <v>0.16</v>
      </c>
      <c r="N10" s="173">
        <f t="shared" si="0"/>
        <v>640</v>
      </c>
      <c r="O10" s="173">
        <v>0.08</v>
      </c>
      <c r="P10" s="173">
        <f t="shared" si="1"/>
        <v>320</v>
      </c>
      <c r="Q10" s="173">
        <v>4000</v>
      </c>
      <c r="R10" s="173">
        <v>0.087</v>
      </c>
      <c r="S10" s="173">
        <f t="shared" si="2"/>
        <v>348</v>
      </c>
      <c r="T10" s="173">
        <v>0.02</v>
      </c>
      <c r="U10" s="173">
        <f t="shared" si="3"/>
        <v>80</v>
      </c>
      <c r="V10" s="173">
        <v>4000</v>
      </c>
      <c r="W10" s="173">
        <v>0.007</v>
      </c>
      <c r="X10" s="173">
        <f t="shared" si="4"/>
        <v>28</v>
      </c>
      <c r="Y10" s="173">
        <v>0.003</v>
      </c>
      <c r="Z10" s="173">
        <f t="shared" si="5"/>
        <v>12</v>
      </c>
      <c r="AA10" s="173"/>
      <c r="AB10" s="173"/>
      <c r="AC10" s="173"/>
      <c r="AD10" s="173">
        <v>4000</v>
      </c>
      <c r="AE10" s="173">
        <v>0.0056</v>
      </c>
      <c r="AF10" s="173">
        <f t="shared" si="6"/>
        <v>22.4</v>
      </c>
      <c r="AG10" s="173">
        <v>4000</v>
      </c>
      <c r="AH10" s="173">
        <v>0.05</v>
      </c>
      <c r="AI10" s="173">
        <f t="shared" si="7"/>
        <v>200</v>
      </c>
      <c r="AJ10" s="173">
        <v>0.05</v>
      </c>
      <c r="AK10" s="173">
        <f t="shared" si="8"/>
        <v>200</v>
      </c>
      <c r="AL10" s="211"/>
      <c r="AM10" s="173"/>
      <c r="AN10" s="173"/>
      <c r="AO10" s="173"/>
      <c r="AP10" s="174"/>
      <c r="AQ10" s="218"/>
      <c r="AR10" s="218"/>
      <c r="AS10" s="219">
        <f t="shared" si="9"/>
        <v>1038.4</v>
      </c>
      <c r="AT10" s="219">
        <f t="shared" si="10"/>
        <v>412</v>
      </c>
      <c r="AU10" s="219">
        <f t="shared" si="11"/>
        <v>200</v>
      </c>
      <c r="AV10" s="219">
        <f t="shared" si="12"/>
        <v>200</v>
      </c>
      <c r="AW10" s="219">
        <f t="shared" si="13"/>
        <v>1850.4</v>
      </c>
      <c r="AX10" s="231">
        <f t="shared" si="14"/>
        <v>1450.4</v>
      </c>
      <c r="AY10" s="231"/>
      <c r="AZ10" s="231">
        <f t="shared" si="15"/>
        <v>400</v>
      </c>
      <c r="BA10" s="231"/>
      <c r="BB10" s="232">
        <v>80</v>
      </c>
      <c r="BC10" s="231">
        <f t="shared" si="16"/>
        <v>1930.4</v>
      </c>
      <c r="BD10" s="233"/>
      <c r="BE10" s="251"/>
      <c r="BF10" s="251"/>
      <c r="BG10" s="251"/>
      <c r="BH10" s="251"/>
    </row>
    <row r="11" s="162" customFormat="1" ht="18" customHeight="1" spans="1:60">
      <c r="A11" s="173"/>
      <c r="B11" s="174" t="s">
        <v>140</v>
      </c>
      <c r="C11" s="126" t="s">
        <v>168</v>
      </c>
      <c r="D11" s="175" t="s">
        <v>142</v>
      </c>
      <c r="E11" s="174" t="s">
        <v>150</v>
      </c>
      <c r="F11" s="176" t="s">
        <v>164</v>
      </c>
      <c r="G11" s="177" t="s">
        <v>165</v>
      </c>
      <c r="H11" s="175" t="s">
        <v>169</v>
      </c>
      <c r="I11" s="175" t="s">
        <v>169</v>
      </c>
      <c r="J11" s="175" t="s">
        <v>144</v>
      </c>
      <c r="K11" s="175" t="s">
        <v>172</v>
      </c>
      <c r="L11" s="173">
        <v>4000</v>
      </c>
      <c r="M11" s="173">
        <v>0.16</v>
      </c>
      <c r="N11" s="173">
        <f t="shared" si="0"/>
        <v>640</v>
      </c>
      <c r="O11" s="173">
        <v>0.08</v>
      </c>
      <c r="P11" s="173">
        <f t="shared" si="1"/>
        <v>320</v>
      </c>
      <c r="Q11" s="173">
        <v>4000</v>
      </c>
      <c r="R11" s="173">
        <v>0.087</v>
      </c>
      <c r="S11" s="173">
        <f t="shared" si="2"/>
        <v>348</v>
      </c>
      <c r="T11" s="173">
        <v>0.02</v>
      </c>
      <c r="U11" s="173">
        <f t="shared" si="3"/>
        <v>80</v>
      </c>
      <c r="V11" s="173">
        <v>4000</v>
      </c>
      <c r="W11" s="173">
        <v>0.007</v>
      </c>
      <c r="X11" s="173">
        <f t="shared" si="4"/>
        <v>28</v>
      </c>
      <c r="Y11" s="173">
        <v>0.003</v>
      </c>
      <c r="Z11" s="173">
        <f t="shared" si="5"/>
        <v>12</v>
      </c>
      <c r="AA11" s="173"/>
      <c r="AB11" s="173"/>
      <c r="AC11" s="173"/>
      <c r="AD11" s="173">
        <v>4000</v>
      </c>
      <c r="AE11" s="173">
        <v>0.0056</v>
      </c>
      <c r="AF11" s="173">
        <f t="shared" si="6"/>
        <v>22.4</v>
      </c>
      <c r="AG11" s="173">
        <v>4000</v>
      </c>
      <c r="AH11" s="173">
        <v>0.05</v>
      </c>
      <c r="AI11" s="173">
        <f t="shared" si="7"/>
        <v>200</v>
      </c>
      <c r="AJ11" s="173">
        <v>0.05</v>
      </c>
      <c r="AK11" s="173">
        <f t="shared" si="8"/>
        <v>200</v>
      </c>
      <c r="AL11" s="211"/>
      <c r="AM11" s="173"/>
      <c r="AN11" s="173"/>
      <c r="AO11" s="173"/>
      <c r="AP11" s="174"/>
      <c r="AQ11" s="218"/>
      <c r="AR11" s="218"/>
      <c r="AS11" s="219">
        <f t="shared" si="9"/>
        <v>1038.4</v>
      </c>
      <c r="AT11" s="219">
        <f t="shared" si="10"/>
        <v>412</v>
      </c>
      <c r="AU11" s="219">
        <f t="shared" si="11"/>
        <v>200</v>
      </c>
      <c r="AV11" s="219">
        <f t="shared" si="12"/>
        <v>200</v>
      </c>
      <c r="AW11" s="219">
        <f t="shared" si="13"/>
        <v>1850.4</v>
      </c>
      <c r="AX11" s="231">
        <f t="shared" si="14"/>
        <v>1450.4</v>
      </c>
      <c r="AY11" s="231"/>
      <c r="AZ11" s="231">
        <f t="shared" si="15"/>
        <v>400</v>
      </c>
      <c r="BA11" s="231"/>
      <c r="BB11" s="232">
        <v>80</v>
      </c>
      <c r="BC11" s="231">
        <f t="shared" si="16"/>
        <v>1930.4</v>
      </c>
      <c r="BD11" s="233"/>
      <c r="BE11" s="251"/>
      <c r="BF11" s="251"/>
      <c r="BG11" s="251"/>
      <c r="BH11" s="251"/>
    </row>
    <row r="12" s="162" customFormat="1" ht="18" customHeight="1" spans="1:60">
      <c r="A12" s="173" t="s">
        <v>152</v>
      </c>
      <c r="B12" s="174" t="s">
        <v>140</v>
      </c>
      <c r="C12" s="126" t="s">
        <v>168</v>
      </c>
      <c r="D12" s="175" t="s">
        <v>142</v>
      </c>
      <c r="E12" s="174" t="s">
        <v>150</v>
      </c>
      <c r="F12" s="176" t="s">
        <v>164</v>
      </c>
      <c r="G12" s="177" t="s">
        <v>165</v>
      </c>
      <c r="H12" s="175" t="s">
        <v>169</v>
      </c>
      <c r="I12" s="175" t="s">
        <v>169</v>
      </c>
      <c r="J12" s="175" t="s">
        <v>169</v>
      </c>
      <c r="K12" s="175" t="s">
        <v>169</v>
      </c>
      <c r="L12" s="173">
        <v>4000</v>
      </c>
      <c r="M12" s="173">
        <v>0.16</v>
      </c>
      <c r="N12" s="173">
        <f t="shared" si="0"/>
        <v>640</v>
      </c>
      <c r="O12" s="173">
        <v>0.08</v>
      </c>
      <c r="P12" s="173">
        <f t="shared" si="1"/>
        <v>320</v>
      </c>
      <c r="Q12" s="173">
        <v>4000</v>
      </c>
      <c r="R12" s="173">
        <v>0.087</v>
      </c>
      <c r="S12" s="173">
        <f t="shared" si="2"/>
        <v>348</v>
      </c>
      <c r="T12" s="173">
        <v>0.02</v>
      </c>
      <c r="U12" s="173">
        <f t="shared" si="3"/>
        <v>80</v>
      </c>
      <c r="V12" s="173">
        <v>4000</v>
      </c>
      <c r="W12" s="173">
        <v>0.007</v>
      </c>
      <c r="X12" s="173">
        <f t="shared" si="4"/>
        <v>28</v>
      </c>
      <c r="Y12" s="173">
        <v>0.003</v>
      </c>
      <c r="Z12" s="173">
        <f t="shared" si="5"/>
        <v>12</v>
      </c>
      <c r="AA12" s="173"/>
      <c r="AB12" s="173"/>
      <c r="AC12" s="173"/>
      <c r="AD12" s="173">
        <v>4000</v>
      </c>
      <c r="AE12" s="173">
        <v>0.0056</v>
      </c>
      <c r="AF12" s="173">
        <f t="shared" si="6"/>
        <v>22.4</v>
      </c>
      <c r="AG12" s="173">
        <v>4000</v>
      </c>
      <c r="AH12" s="173">
        <v>0.05</v>
      </c>
      <c r="AI12" s="173">
        <f t="shared" si="7"/>
        <v>200</v>
      </c>
      <c r="AJ12" s="173">
        <v>0.05</v>
      </c>
      <c r="AK12" s="173">
        <f t="shared" si="8"/>
        <v>200</v>
      </c>
      <c r="AL12" s="211"/>
      <c r="AM12" s="173"/>
      <c r="AN12" s="173"/>
      <c r="AO12" s="173"/>
      <c r="AP12" s="174"/>
      <c r="AQ12" s="218"/>
      <c r="AR12" s="218">
        <v>86.67</v>
      </c>
      <c r="AS12" s="219">
        <f t="shared" si="9"/>
        <v>1038.4</v>
      </c>
      <c r="AT12" s="219">
        <f t="shared" si="10"/>
        <v>412</v>
      </c>
      <c r="AU12" s="219">
        <f t="shared" si="11"/>
        <v>200</v>
      </c>
      <c r="AV12" s="219">
        <f t="shared" si="12"/>
        <v>200</v>
      </c>
      <c r="AW12" s="219">
        <f t="shared" si="13"/>
        <v>1850.4</v>
      </c>
      <c r="AX12" s="231">
        <f t="shared" si="14"/>
        <v>1450.4</v>
      </c>
      <c r="AY12" s="231"/>
      <c r="AZ12" s="231">
        <f t="shared" si="15"/>
        <v>400</v>
      </c>
      <c r="BA12" s="231"/>
      <c r="BB12" s="232">
        <v>80</v>
      </c>
      <c r="BC12" s="231">
        <f t="shared" si="16"/>
        <v>1930.4</v>
      </c>
      <c r="BD12" s="233"/>
      <c r="BE12" s="251"/>
      <c r="BF12" s="251"/>
      <c r="BG12" s="251"/>
      <c r="BH12" s="251"/>
    </row>
    <row r="13" s="162" customFormat="1" ht="18" customHeight="1" spans="1:60">
      <c r="A13" s="173" t="s">
        <v>152</v>
      </c>
      <c r="B13" s="174" t="s">
        <v>140</v>
      </c>
      <c r="C13" s="126" t="s">
        <v>168</v>
      </c>
      <c r="D13" s="175" t="s">
        <v>142</v>
      </c>
      <c r="E13" s="174" t="s">
        <v>150</v>
      </c>
      <c r="F13" s="176" t="s">
        <v>164</v>
      </c>
      <c r="G13" s="177" t="s">
        <v>165</v>
      </c>
      <c r="H13" s="175" t="s">
        <v>169</v>
      </c>
      <c r="I13" s="175" t="s">
        <v>169</v>
      </c>
      <c r="J13" s="175" t="s">
        <v>173</v>
      </c>
      <c r="K13" s="175" t="s">
        <v>173</v>
      </c>
      <c r="L13" s="173">
        <v>4000</v>
      </c>
      <c r="M13" s="173">
        <v>0.16</v>
      </c>
      <c r="N13" s="173">
        <f t="shared" si="0"/>
        <v>640</v>
      </c>
      <c r="O13" s="173">
        <v>0.08</v>
      </c>
      <c r="P13" s="173">
        <f t="shared" si="1"/>
        <v>320</v>
      </c>
      <c r="Q13" s="173">
        <v>4000</v>
      </c>
      <c r="R13" s="173">
        <v>0.087</v>
      </c>
      <c r="S13" s="173">
        <f t="shared" si="2"/>
        <v>348</v>
      </c>
      <c r="T13" s="173">
        <v>0.02</v>
      </c>
      <c r="U13" s="173">
        <f t="shared" si="3"/>
        <v>80</v>
      </c>
      <c r="V13" s="173">
        <v>4000</v>
      </c>
      <c r="W13" s="173">
        <v>0.007</v>
      </c>
      <c r="X13" s="173">
        <f t="shared" si="4"/>
        <v>28</v>
      </c>
      <c r="Y13" s="173">
        <v>0.003</v>
      </c>
      <c r="Z13" s="173">
        <f t="shared" si="5"/>
        <v>12</v>
      </c>
      <c r="AA13" s="173"/>
      <c r="AB13" s="173"/>
      <c r="AC13" s="173"/>
      <c r="AD13" s="173">
        <v>4000</v>
      </c>
      <c r="AE13" s="173">
        <v>0.0056</v>
      </c>
      <c r="AF13" s="173">
        <f t="shared" si="6"/>
        <v>22.4</v>
      </c>
      <c r="AG13" s="173">
        <v>4000</v>
      </c>
      <c r="AH13" s="173">
        <v>0.05</v>
      </c>
      <c r="AI13" s="173">
        <f t="shared" si="7"/>
        <v>200</v>
      </c>
      <c r="AJ13" s="173">
        <v>0.05</v>
      </c>
      <c r="AK13" s="173">
        <f t="shared" si="8"/>
        <v>200</v>
      </c>
      <c r="AL13" s="211"/>
      <c r="AM13" s="173"/>
      <c r="AN13" s="173"/>
      <c r="AO13" s="173"/>
      <c r="AP13" s="174"/>
      <c r="AQ13" s="218"/>
      <c r="AR13" s="218"/>
      <c r="AS13" s="219">
        <f t="shared" si="9"/>
        <v>1038.4</v>
      </c>
      <c r="AT13" s="219">
        <f t="shared" si="10"/>
        <v>412</v>
      </c>
      <c r="AU13" s="219">
        <f t="shared" si="11"/>
        <v>200</v>
      </c>
      <c r="AV13" s="219">
        <f t="shared" si="12"/>
        <v>200</v>
      </c>
      <c r="AW13" s="219">
        <f t="shared" si="13"/>
        <v>1850.4</v>
      </c>
      <c r="AX13" s="231">
        <f t="shared" si="14"/>
        <v>1450.4</v>
      </c>
      <c r="AY13" s="231"/>
      <c r="AZ13" s="231">
        <f t="shared" si="15"/>
        <v>400</v>
      </c>
      <c r="BA13" s="231"/>
      <c r="BB13" s="232">
        <v>80</v>
      </c>
      <c r="BC13" s="231">
        <f t="shared" si="16"/>
        <v>1930.4</v>
      </c>
      <c r="BD13" s="233"/>
      <c r="BE13" s="251"/>
      <c r="BF13" s="251"/>
      <c r="BG13" s="251"/>
      <c r="BH13" s="251"/>
    </row>
    <row r="14" s="161" customFormat="1" ht="18" customHeight="1" spans="1:60">
      <c r="A14" s="178"/>
      <c r="B14" s="179"/>
      <c r="C14" s="180" t="s">
        <v>149</v>
      </c>
      <c r="D14" s="181"/>
      <c r="E14" s="182"/>
      <c r="F14" s="183" t="s">
        <v>174</v>
      </c>
      <c r="G14" s="184" t="s">
        <v>175</v>
      </c>
      <c r="H14" s="181"/>
      <c r="I14" s="181"/>
      <c r="J14" s="181"/>
      <c r="K14" s="181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12"/>
      <c r="AM14" s="204"/>
      <c r="AN14" s="204"/>
      <c r="AO14" s="204"/>
      <c r="AP14" s="182"/>
      <c r="AQ14" s="220"/>
      <c r="AR14" s="220"/>
      <c r="AS14" s="221"/>
      <c r="AT14" s="221"/>
      <c r="AU14" s="221"/>
      <c r="AV14" s="221"/>
      <c r="AW14" s="221"/>
      <c r="AX14" s="234"/>
      <c r="AY14" s="235"/>
      <c r="AZ14" s="234"/>
      <c r="BA14" s="235"/>
      <c r="BB14" s="232">
        <v>80</v>
      </c>
      <c r="BC14" s="231">
        <f t="shared" si="16"/>
        <v>80</v>
      </c>
      <c r="BD14" s="230" t="s">
        <v>176</v>
      </c>
      <c r="BE14" s="250"/>
      <c r="BF14" s="250"/>
      <c r="BG14" s="250"/>
      <c r="BH14" s="250"/>
    </row>
    <row r="15" s="163" customFormat="1" ht="18" customHeight="1" spans="1:60">
      <c r="A15" s="185"/>
      <c r="B15" s="186"/>
      <c r="C15" s="180"/>
      <c r="D15" s="187"/>
      <c r="E15" s="188"/>
      <c r="F15" s="189"/>
      <c r="G15" s="190"/>
      <c r="H15" s="191"/>
      <c r="I15" s="187"/>
      <c r="J15" s="191"/>
      <c r="K15" s="191"/>
      <c r="L15" s="205"/>
      <c r="M15" s="205"/>
      <c r="N15" s="206"/>
      <c r="O15" s="205"/>
      <c r="P15" s="205"/>
      <c r="Q15" s="205"/>
      <c r="R15" s="205"/>
      <c r="S15" s="205"/>
      <c r="T15" s="205"/>
      <c r="U15" s="205"/>
      <c r="V15" s="208"/>
      <c r="W15" s="208"/>
      <c r="X15" s="209"/>
      <c r="Y15" s="208"/>
      <c r="Z15" s="205"/>
      <c r="AA15" s="205"/>
      <c r="AB15" s="205"/>
      <c r="AC15" s="205"/>
      <c r="AD15" s="205"/>
      <c r="AE15" s="205"/>
      <c r="AF15" s="206"/>
      <c r="AG15" s="205"/>
      <c r="AH15" s="205"/>
      <c r="AI15" s="205"/>
      <c r="AJ15" s="205"/>
      <c r="AK15" s="205"/>
      <c r="AL15" s="213"/>
      <c r="AM15" s="205"/>
      <c r="AN15" s="205"/>
      <c r="AO15" s="205"/>
      <c r="AP15" s="222"/>
      <c r="AQ15" s="223"/>
      <c r="AR15" s="205"/>
      <c r="AS15" s="224"/>
      <c r="AT15" s="224"/>
      <c r="AU15" s="224"/>
      <c r="AV15" s="224"/>
      <c r="AW15" s="224"/>
      <c r="AX15" s="236"/>
      <c r="AY15" s="237"/>
      <c r="AZ15" s="236"/>
      <c r="BA15" s="237"/>
      <c r="BB15" s="238"/>
      <c r="BC15" s="239"/>
      <c r="BD15" s="240"/>
      <c r="BE15" s="160"/>
      <c r="BF15" s="160"/>
      <c r="BG15" s="160"/>
      <c r="BH15" s="160"/>
    </row>
    <row r="16" s="160" customFormat="1" ht="14.25" spans="1:56">
      <c r="A16" s="192" t="s">
        <v>163</v>
      </c>
      <c r="B16" s="193"/>
      <c r="C16" s="194"/>
      <c r="D16" s="194"/>
      <c r="E16" s="195"/>
      <c r="F16" s="194"/>
      <c r="G16" s="194"/>
      <c r="H16" s="194"/>
      <c r="I16" s="194"/>
      <c r="J16" s="194"/>
      <c r="K16" s="194"/>
      <c r="L16" s="195">
        <f t="shared" ref="L16:BC16" si="17">SUM(L3:L15)</f>
        <v>39059.15</v>
      </c>
      <c r="M16" s="195">
        <f t="shared" si="17"/>
        <v>1.76</v>
      </c>
      <c r="N16" s="195">
        <f t="shared" si="17"/>
        <v>6249.47</v>
      </c>
      <c r="O16" s="195">
        <f t="shared" si="17"/>
        <v>0.88</v>
      </c>
      <c r="P16" s="195">
        <f t="shared" si="17"/>
        <v>3124.72</v>
      </c>
      <c r="Q16" s="195">
        <f t="shared" si="17"/>
        <v>39059.15</v>
      </c>
      <c r="R16" s="195">
        <f t="shared" si="17"/>
        <v>0.855</v>
      </c>
      <c r="S16" s="195">
        <f t="shared" si="17"/>
        <v>3081.54</v>
      </c>
      <c r="T16" s="195">
        <f t="shared" si="17"/>
        <v>0.22</v>
      </c>
      <c r="U16" s="195">
        <f t="shared" si="17"/>
        <v>781.18</v>
      </c>
      <c r="V16" s="195">
        <f t="shared" si="17"/>
        <v>39059.15</v>
      </c>
      <c r="W16" s="195">
        <f t="shared" si="17"/>
        <v>0.077</v>
      </c>
      <c r="X16" s="195">
        <f t="shared" si="17"/>
        <v>273.41</v>
      </c>
      <c r="Y16" s="195">
        <f t="shared" si="17"/>
        <v>0.033</v>
      </c>
      <c r="Z16" s="195">
        <f t="shared" si="17"/>
        <v>117.18</v>
      </c>
      <c r="AA16" s="195">
        <f t="shared" si="17"/>
        <v>9159.15</v>
      </c>
      <c r="AB16" s="195">
        <f t="shared" si="17"/>
        <v>0.021</v>
      </c>
      <c r="AC16" s="195">
        <f t="shared" si="17"/>
        <v>64.11</v>
      </c>
      <c r="AD16" s="195">
        <f t="shared" si="17"/>
        <v>39059.15</v>
      </c>
      <c r="AE16" s="195">
        <f t="shared" si="17"/>
        <v>0.04</v>
      </c>
      <c r="AF16" s="195">
        <f t="shared" si="17"/>
        <v>150.13</v>
      </c>
      <c r="AG16" s="195">
        <f t="shared" si="17"/>
        <v>29000</v>
      </c>
      <c r="AH16" s="195">
        <f t="shared" si="17"/>
        <v>0.7</v>
      </c>
      <c r="AI16" s="195">
        <f t="shared" si="17"/>
        <v>2137</v>
      </c>
      <c r="AJ16" s="195">
        <f t="shared" si="17"/>
        <v>0.58</v>
      </c>
      <c r="AK16" s="195">
        <f t="shared" si="17"/>
        <v>1777</v>
      </c>
      <c r="AL16" s="195">
        <f t="shared" si="17"/>
        <v>0</v>
      </c>
      <c r="AM16" s="195">
        <f t="shared" si="17"/>
        <v>0</v>
      </c>
      <c r="AN16" s="195">
        <f t="shared" si="17"/>
        <v>0</v>
      </c>
      <c r="AO16" s="195">
        <f t="shared" si="17"/>
        <v>0</v>
      </c>
      <c r="AP16" s="195">
        <f t="shared" si="17"/>
        <v>0</v>
      </c>
      <c r="AQ16" s="195">
        <f t="shared" si="17"/>
        <v>15</v>
      </c>
      <c r="AR16" s="195">
        <f t="shared" si="17"/>
        <v>86.67</v>
      </c>
      <c r="AS16" s="195">
        <f t="shared" si="17"/>
        <v>9833.66</v>
      </c>
      <c r="AT16" s="195">
        <f t="shared" si="17"/>
        <v>4023.08</v>
      </c>
      <c r="AU16" s="195">
        <f t="shared" si="17"/>
        <v>2137</v>
      </c>
      <c r="AV16" s="195">
        <f t="shared" si="17"/>
        <v>1777</v>
      </c>
      <c r="AW16" s="195">
        <f t="shared" si="17"/>
        <v>17770.74</v>
      </c>
      <c r="AX16" s="195">
        <f t="shared" si="17"/>
        <v>13856.74</v>
      </c>
      <c r="AY16" s="195">
        <f t="shared" si="17"/>
        <v>0</v>
      </c>
      <c r="AZ16" s="195">
        <f t="shared" si="17"/>
        <v>3914</v>
      </c>
      <c r="BA16" s="195">
        <f t="shared" si="17"/>
        <v>0</v>
      </c>
      <c r="BB16" s="195">
        <f t="shared" si="17"/>
        <v>960</v>
      </c>
      <c r="BC16" s="195">
        <f t="shared" si="17"/>
        <v>18730.74</v>
      </c>
      <c r="BD16" s="241"/>
    </row>
    <row r="17" s="160" customFormat="1" ht="15" spans="1:56">
      <c r="A17" s="196" t="s">
        <v>61</v>
      </c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207">
        <f t="shared" ref="L17:AX17" si="18">SUM(L16:L16)</f>
        <v>39059.15</v>
      </c>
      <c r="M17" s="207">
        <f t="shared" si="18"/>
        <v>1.76</v>
      </c>
      <c r="N17" s="207">
        <f t="shared" si="18"/>
        <v>6249.47</v>
      </c>
      <c r="O17" s="207">
        <f t="shared" si="18"/>
        <v>0.88</v>
      </c>
      <c r="P17" s="207">
        <f t="shared" si="18"/>
        <v>3124.72</v>
      </c>
      <c r="Q17" s="207">
        <f t="shared" si="18"/>
        <v>39059.15</v>
      </c>
      <c r="R17" s="207">
        <f t="shared" si="18"/>
        <v>0.855</v>
      </c>
      <c r="S17" s="207">
        <f t="shared" si="18"/>
        <v>3081.54</v>
      </c>
      <c r="T17" s="207">
        <f t="shared" si="18"/>
        <v>0.22</v>
      </c>
      <c r="U17" s="207">
        <f t="shared" si="18"/>
        <v>781.18</v>
      </c>
      <c r="V17" s="207">
        <f t="shared" si="18"/>
        <v>39059.15</v>
      </c>
      <c r="W17" s="207">
        <f t="shared" si="18"/>
        <v>0.077</v>
      </c>
      <c r="X17" s="207">
        <f t="shared" si="18"/>
        <v>273.41</v>
      </c>
      <c r="Y17" s="207">
        <f t="shared" si="18"/>
        <v>0.033</v>
      </c>
      <c r="Z17" s="207">
        <f t="shared" si="18"/>
        <v>117.18</v>
      </c>
      <c r="AA17" s="207">
        <f t="shared" si="18"/>
        <v>9159.15</v>
      </c>
      <c r="AB17" s="207">
        <f t="shared" si="18"/>
        <v>0.021</v>
      </c>
      <c r="AC17" s="207">
        <f t="shared" si="18"/>
        <v>64.11</v>
      </c>
      <c r="AD17" s="207">
        <f t="shared" si="18"/>
        <v>39059.15</v>
      </c>
      <c r="AE17" s="207">
        <f t="shared" si="18"/>
        <v>0.04</v>
      </c>
      <c r="AF17" s="207">
        <f t="shared" si="18"/>
        <v>150.13</v>
      </c>
      <c r="AG17" s="207">
        <f t="shared" si="18"/>
        <v>29000</v>
      </c>
      <c r="AH17" s="207">
        <f t="shared" si="18"/>
        <v>0.7</v>
      </c>
      <c r="AI17" s="207">
        <f t="shared" si="18"/>
        <v>2137</v>
      </c>
      <c r="AJ17" s="207">
        <f t="shared" si="18"/>
        <v>0.58</v>
      </c>
      <c r="AK17" s="207">
        <f t="shared" si="18"/>
        <v>1777</v>
      </c>
      <c r="AL17" s="207">
        <f t="shared" si="18"/>
        <v>0</v>
      </c>
      <c r="AM17" s="207">
        <f t="shared" si="18"/>
        <v>0</v>
      </c>
      <c r="AN17" s="207">
        <f t="shared" si="18"/>
        <v>0</v>
      </c>
      <c r="AO17" s="207">
        <f t="shared" si="18"/>
        <v>0</v>
      </c>
      <c r="AP17" s="207">
        <f t="shared" si="18"/>
        <v>0</v>
      </c>
      <c r="AQ17" s="207">
        <f t="shared" si="18"/>
        <v>15</v>
      </c>
      <c r="AR17" s="207">
        <f t="shared" si="18"/>
        <v>86.67</v>
      </c>
      <c r="AS17" s="225">
        <f t="shared" si="18"/>
        <v>9833.66</v>
      </c>
      <c r="AT17" s="225">
        <f t="shared" si="18"/>
        <v>4023.08</v>
      </c>
      <c r="AU17" s="225">
        <f t="shared" si="18"/>
        <v>2137</v>
      </c>
      <c r="AV17" s="225">
        <f t="shared" si="18"/>
        <v>1777</v>
      </c>
      <c r="AW17" s="225">
        <f t="shared" si="18"/>
        <v>17770.74</v>
      </c>
      <c r="AX17" s="242">
        <f t="shared" si="18"/>
        <v>13856.74</v>
      </c>
      <c r="AY17" s="242"/>
      <c r="AZ17" s="242">
        <f t="shared" ref="AZ17:BC17" si="19">SUM(AZ16:AZ16)</f>
        <v>3914</v>
      </c>
      <c r="BA17" s="242"/>
      <c r="BB17" s="207">
        <f t="shared" si="19"/>
        <v>960</v>
      </c>
      <c r="BC17" s="207">
        <f t="shared" si="19"/>
        <v>18730.74</v>
      </c>
      <c r="BD17" s="243"/>
    </row>
    <row r="18" s="164" customFormat="1" spans="1:56">
      <c r="A18" s="200"/>
      <c r="B18" s="200"/>
      <c r="C18" s="200"/>
      <c r="D18" s="200"/>
      <c r="E18" s="200"/>
      <c r="F18" s="201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26"/>
      <c r="AT18" s="226"/>
      <c r="AU18" s="226"/>
      <c r="AV18" s="226"/>
      <c r="AW18" s="226"/>
      <c r="AX18" s="200"/>
      <c r="AY18" s="200"/>
      <c r="AZ18" s="200"/>
      <c r="BA18" s="200"/>
      <c r="BB18" s="200"/>
      <c r="BC18" s="200"/>
      <c r="BD18" s="244"/>
    </row>
    <row r="19" s="165" customFormat="1" spans="1:56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6"/>
      <c r="AT19" s="166"/>
      <c r="AU19" s="166"/>
      <c r="AV19" s="166"/>
      <c r="AW19" s="166"/>
      <c r="AX19" s="160"/>
      <c r="AY19" s="160"/>
      <c r="AZ19" s="160"/>
      <c r="BA19" s="160"/>
      <c r="BB19" s="160"/>
      <c r="BC19" s="160"/>
      <c r="BD19" s="167"/>
    </row>
    <row r="20" s="160" customFormat="1" spans="45:56">
      <c r="AS20" s="166"/>
      <c r="AT20" s="166"/>
      <c r="AU20" s="166"/>
      <c r="AV20" s="166"/>
      <c r="AW20" s="166"/>
      <c r="BD20" s="167"/>
    </row>
    <row r="21" s="160" customFormat="1" spans="45:56">
      <c r="AS21" s="166"/>
      <c r="AT21" s="166"/>
      <c r="AU21" s="166"/>
      <c r="AV21" s="166"/>
      <c r="AW21" s="166"/>
      <c r="AX21" s="245"/>
      <c r="AY21" s="245"/>
      <c r="BC21" s="246"/>
      <c r="BD21" s="167"/>
    </row>
    <row r="22" s="160" customFormat="1" spans="45:56">
      <c r="AS22" s="166"/>
      <c r="AT22" s="166"/>
      <c r="AU22" s="166"/>
      <c r="AV22" s="166"/>
      <c r="AW22" s="166"/>
      <c r="BD22" s="167"/>
    </row>
  </sheetData>
  <mergeCells count="50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7:AY17"/>
    <mergeCell ref="AZ17:BA17"/>
    <mergeCell ref="AX21:AY2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4" priority="1" stopIfTrue="1">
      <formula>AND(COUNTIF($J$1:$J$1,H1)&gt;1,NOT(ISBLANK(H1)))</formula>
    </cfRule>
  </conditionalFormatting>
  <conditionalFormatting sqref="J1">
    <cfRule type="duplicateValues" dxfId="4" priority="2" stopIfTrue="1"/>
  </conditionalFormatting>
  <conditionalFormatting sqref="K1:L1">
    <cfRule type="duplicateValues" dxfId="4" priority="3" stopIfTrue="1"/>
  </conditionalFormatting>
  <conditionalFormatting sqref="Q1">
    <cfRule type="duplicateValues" dxfId="4" priority="4" stopIfTrue="1"/>
  </conditionalFormatting>
  <conditionalFormatting sqref="V1">
    <cfRule type="duplicateValues" dxfId="4" priority="5" stopIfTrue="1"/>
  </conditionalFormatting>
  <conditionalFormatting sqref="AG1">
    <cfRule type="duplicateValues" dxfId="4" priority="6" stopIfTrue="1"/>
  </conditionalFormatting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">
        <v>177</v>
      </c>
      <c r="G4" s="39">
        <v>18035163638</v>
      </c>
      <c r="H4" s="40"/>
      <c r="I4" s="40"/>
      <c r="J4" s="69"/>
      <c r="K4" s="40"/>
      <c r="L4" s="70">
        <v>8980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L4+IFERROR(VLOOKUP($E:$E,'（居民）工资表-5月'!$E:$S,15,0),0)</f>
        <v>51840</v>
      </c>
      <c r="T4" s="91">
        <f>5000+IFERROR(VLOOKUP($E:$E,'（居民）工资表-5月'!$E:$T,16,0),0)</f>
        <v>30000</v>
      </c>
      <c r="U4" s="91">
        <f>Q4+IFERROR(VLOOKUP($E:$E,'（居民）工资表-5月'!$E:$U,17,0),0)</f>
        <v>3119.4</v>
      </c>
      <c r="V4" s="70"/>
      <c r="W4" s="70"/>
      <c r="X4" s="70">
        <v>6000</v>
      </c>
      <c r="Y4" s="70"/>
      <c r="Z4" s="70"/>
      <c r="AA4" s="70"/>
      <c r="AB4" s="90">
        <f>ROUND(SUM(V4:AA4),2)</f>
        <v>6000</v>
      </c>
      <c r="AC4" s="90">
        <f>R4+IFERROR(VLOOKUP($E:$E,'（居民）工资表-5月'!$E:$AC,25,0),0)</f>
        <v>0</v>
      </c>
      <c r="AD4" s="93">
        <f>ROUND(S4-T4-U4-AB4-AC4,2)</f>
        <v>12720.6</v>
      </c>
      <c r="AE4" s="94">
        <f>ROUND(MAX((AD4)*{0.03;0.1;0.2;0.25;0.3;0.35;0.45}-{0;2520;16920;31920;52920;85920;181920},0),2)</f>
        <v>381.62</v>
      </c>
      <c r="AF4" s="95">
        <f>IFERROR(VLOOKUP(E:E,'（居民）工资表-5月'!E:AF,28,0)+VLOOKUP(E:E,'（居民）工资表-5月'!E:AG,29,0),0)</f>
        <v>307.82</v>
      </c>
      <c r="AG4" s="95">
        <f>IF((AE4-AF4)&lt;0,0,AE4-AF4)</f>
        <v>73.8</v>
      </c>
      <c r="AH4" s="102">
        <f>ROUND(IF((L4-Q4-AG4)&lt;0,0,(L4-Q4-AG4)),2)</f>
        <v>8386.3</v>
      </c>
      <c r="AI4" s="103"/>
      <c r="AJ4" s="102">
        <f>AH4+AI4</f>
        <v>8386.3</v>
      </c>
      <c r="AK4" s="104"/>
      <c r="AL4" s="102">
        <f>AJ4+AG4+AK4</f>
        <v>8460.1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57</v>
      </c>
      <c r="D5" s="37" t="s">
        <v>52</v>
      </c>
      <c r="E5" s="367" t="s">
        <v>58</v>
      </c>
      <c r="F5" s="38" t="s">
        <v>178</v>
      </c>
      <c r="G5" s="39">
        <v>13926009696</v>
      </c>
      <c r="H5" s="40"/>
      <c r="I5" s="40"/>
      <c r="J5" s="69"/>
      <c r="K5" s="40"/>
      <c r="L5" s="70">
        <v>5800</v>
      </c>
      <c r="M5" s="71">
        <v>304.24</v>
      </c>
      <c r="N5" s="71">
        <v>123.5</v>
      </c>
      <c r="O5" s="71">
        <v>7.61</v>
      </c>
      <c r="P5" s="71">
        <v>0</v>
      </c>
      <c r="Q5" s="89">
        <f>ROUND(SUM(M5:P5),2)</f>
        <v>435.35</v>
      </c>
      <c r="R5" s="70">
        <v>0</v>
      </c>
      <c r="S5" s="90">
        <f>L5+IFERROR(VLOOKUP($E:$E,'（居民）工资表-5月'!$E:$S,15,0),0)</f>
        <v>34800</v>
      </c>
      <c r="T5" s="91">
        <f>5000+IFERROR(VLOOKUP($E:$E,'（居民）工资表-5月'!$E:$T,16,0),0)</f>
        <v>30000</v>
      </c>
      <c r="U5" s="91">
        <f>Q5+IFERROR(VLOOKUP($E:$E,'（居民）工资表-5月'!$E:$U,17,0),0)</f>
        <v>2612.1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3">
        <f>ROUND(S5-T5-U5-AB5-AC5,2)</f>
        <v>2187.9</v>
      </c>
      <c r="AE5" s="94">
        <f>ROUND(MAX((AD5)*{0.03;0.1;0.2;0.25;0.3;0.35;0.45}-{0;2520;16920;31920;52920;85920;181920},0),2)</f>
        <v>65.64</v>
      </c>
      <c r="AF5" s="95">
        <f>IFERROR(VLOOKUP(E:E,'（居民）工资表-5月'!E:AF,28,0)+VLOOKUP(E:E,'（居民）工资表-5月'!E:AG,29,0),0)</f>
        <v>54.7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158</v>
      </c>
      <c r="D6" s="37" t="s">
        <v>52</v>
      </c>
      <c r="E6" s="37" t="s">
        <v>159</v>
      </c>
      <c r="F6" s="38" t="s">
        <v>177</v>
      </c>
      <c r="G6" s="39">
        <v>13944441728</v>
      </c>
      <c r="H6" s="40"/>
      <c r="I6" s="40"/>
      <c r="J6" s="69"/>
      <c r="K6" s="40"/>
      <c r="L6" s="70">
        <v>8120</v>
      </c>
      <c r="M6" s="71">
        <v>488.48</v>
      </c>
      <c r="N6" s="71">
        <v>122.12</v>
      </c>
      <c r="O6" s="71">
        <v>18.32</v>
      </c>
      <c r="P6" s="71">
        <v>158</v>
      </c>
      <c r="Q6" s="89">
        <f>ROUND(SUM(M6:P6),2)</f>
        <v>786.92</v>
      </c>
      <c r="R6" s="70">
        <v>0</v>
      </c>
      <c r="S6" s="90">
        <f>L6+IFERROR(VLOOKUP($E:$E,'（居民）工资表-5月'!$E:$S,15,0),0)</f>
        <v>21140</v>
      </c>
      <c r="T6" s="91">
        <f>5000+IFERROR(VLOOKUP($E:$E,'（居民）工资表-5月'!$E:$T,16,0),0)</f>
        <v>15000</v>
      </c>
      <c r="U6" s="91">
        <f>Q6+IFERROR(VLOOKUP($E:$E,'（居民）工资表-5月'!$E:$U,17,0),0)</f>
        <v>1573.84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3">
        <f>ROUND(S6-T6-U6-AB6-AC6,2)</f>
        <v>4566.16</v>
      </c>
      <c r="AE6" s="94">
        <f>ROUND(MAX((AD6)*{0.03;0.1;0.2;0.25;0.3;0.35;0.45}-{0;2520;16920;31920;52920;85920;181920},0),2)</f>
        <v>136.98</v>
      </c>
      <c r="AF6" s="95">
        <f>IFERROR(VLOOKUP(E:E,'（居民）工资表-5月'!E:AF,28,0)+VLOOKUP(E:E,'（居民）工资表-5月'!E:AG,29,0),0)</f>
        <v>66.99</v>
      </c>
      <c r="AG6" s="95">
        <f>IF((AE6-AF6)&lt;0,0,AE6-AF6)</f>
        <v>69.99</v>
      </c>
      <c r="AH6" s="102">
        <f>ROUND(IF((L6-Q6-AG6)&lt;0,0,(L6-Q6-AG6)),2)</f>
        <v>7263.09</v>
      </c>
      <c r="AI6" s="103"/>
      <c r="AJ6" s="102">
        <f>AH6+AI6</f>
        <v>7263.09</v>
      </c>
      <c r="AK6" s="104"/>
      <c r="AL6" s="102">
        <f>AJ6+AG6+AK6</f>
        <v>7333.08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164</v>
      </c>
      <c r="D7" s="37" t="s">
        <v>52</v>
      </c>
      <c r="E7" s="367" t="s">
        <v>165</v>
      </c>
      <c r="F7" s="38" t="s">
        <v>177</v>
      </c>
      <c r="G7" s="39"/>
      <c r="H7" s="40"/>
      <c r="I7" s="40"/>
      <c r="J7" s="69"/>
      <c r="K7" s="40"/>
      <c r="L7" s="70">
        <v>25000</v>
      </c>
      <c r="M7" s="71">
        <f>320*2</f>
        <v>640</v>
      </c>
      <c r="N7" s="71">
        <f>80*2+86.67</f>
        <v>246.67</v>
      </c>
      <c r="O7" s="71">
        <f>12*2</f>
        <v>24</v>
      </c>
      <c r="P7" s="71">
        <v>400</v>
      </c>
      <c r="Q7" s="89">
        <f>ROUND(SUM(M7:P7),2)</f>
        <v>1310.67</v>
      </c>
      <c r="R7" s="70">
        <v>0</v>
      </c>
      <c r="S7" s="90">
        <f>L7+IFERROR(VLOOKUP($E:$E,'（居民）工资表-5月'!$E:$S,15,0),0)</f>
        <v>36904.76</v>
      </c>
      <c r="T7" s="91">
        <f>5000+IFERROR(VLOOKUP($E:$E,'（居民）工资表-5月'!$E:$T,16,0),0)</f>
        <v>10000</v>
      </c>
      <c r="U7" s="91">
        <f>Q7+IFERROR(VLOOKUP($E:$E,'（居民）工资表-5月'!$E:$U,17,0),0)</f>
        <v>1310.67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R7+IFERROR(VLOOKUP($E:$E,'（居民）工资表-5月'!$E:$AC,25,0),0)</f>
        <v>0</v>
      </c>
      <c r="AD7" s="93">
        <f>ROUND(S7-T7-U7-AB7-AC7,2)</f>
        <v>25594.09</v>
      </c>
      <c r="AE7" s="94">
        <f>ROUND(MAX((AD7)*{0.03;0.1;0.2;0.25;0.3;0.35;0.45}-{0;2520;16920;31920;52920;85920;181920},0),2)</f>
        <v>767.82</v>
      </c>
      <c r="AF7" s="95">
        <f>IFERROR(VLOOKUP(E:E,'（居民）工资表-5月'!E:AF,28,0)+VLOOKUP(E:E,'（居民）工资表-5月'!E:AG,29,0),0)</f>
        <v>207.14</v>
      </c>
      <c r="AG7" s="95">
        <f>IF((AE7-AF7)&lt;0,0,AE7-AF7)</f>
        <v>560.68</v>
      </c>
      <c r="AH7" s="102">
        <f>ROUND(IF((L7-Q7-AG7)&lt;0,0,(L7-Q7-AG7)),2)</f>
        <v>23128.65</v>
      </c>
      <c r="AI7" s="103"/>
      <c r="AJ7" s="102">
        <f>AH7+AI7</f>
        <v>23128.65</v>
      </c>
      <c r="AK7" s="104"/>
      <c r="AL7" s="102">
        <f>AJ7+AG7+AK7</f>
        <v>23689.33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59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47900</v>
      </c>
      <c r="M8" s="74">
        <f t="shared" si="0"/>
        <v>1696.72</v>
      </c>
      <c r="N8" s="74">
        <f t="shared" si="0"/>
        <v>558.29</v>
      </c>
      <c r="O8" s="74">
        <f t="shared" si="0"/>
        <v>59.83</v>
      </c>
      <c r="P8" s="74">
        <f t="shared" si="0"/>
        <v>738</v>
      </c>
      <c r="Q8" s="74">
        <f t="shared" si="0"/>
        <v>3052.84</v>
      </c>
      <c r="R8" s="74">
        <f t="shared" si="0"/>
        <v>0</v>
      </c>
      <c r="S8" s="74">
        <f t="shared" si="0"/>
        <v>144684.76</v>
      </c>
      <c r="T8" s="74">
        <f t="shared" si="0"/>
        <v>85000</v>
      </c>
      <c r="U8" s="74">
        <f t="shared" si="0"/>
        <v>8616.01</v>
      </c>
      <c r="V8" s="74">
        <f t="shared" si="0"/>
        <v>0</v>
      </c>
      <c r="W8" s="74">
        <f t="shared" si="0"/>
        <v>0</v>
      </c>
      <c r="X8" s="74">
        <f t="shared" si="0"/>
        <v>6000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6000</v>
      </c>
      <c r="AC8" s="74">
        <f t="shared" si="0"/>
        <v>0</v>
      </c>
      <c r="AD8" s="74">
        <f t="shared" si="0"/>
        <v>45068.75</v>
      </c>
      <c r="AE8" s="74">
        <f t="shared" si="0"/>
        <v>1352.06</v>
      </c>
      <c r="AF8" s="74">
        <f t="shared" si="0"/>
        <v>636.65</v>
      </c>
      <c r="AG8" s="74">
        <f t="shared" si="0"/>
        <v>715.41</v>
      </c>
      <c r="AH8" s="74">
        <f t="shared" si="0"/>
        <v>44131.75</v>
      </c>
      <c r="AI8" s="105">
        <f t="shared" si="0"/>
        <v>0</v>
      </c>
      <c r="AJ8" s="74">
        <f t="shared" si="0"/>
        <v>44131.75</v>
      </c>
      <c r="AK8" s="74">
        <f t="shared" si="0"/>
        <v>0</v>
      </c>
      <c r="AL8" s="74">
        <f t="shared" si="0"/>
        <v>44847.16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29</v>
      </c>
      <c r="C12" s="47" t="s">
        <v>60</v>
      </c>
      <c r="D12" s="47" t="s">
        <v>30</v>
      </c>
      <c r="E12" s="47" t="s">
        <v>61</v>
      </c>
      <c r="AD12" s="10"/>
    </row>
    <row r="13" ht="18.75" customHeight="1" spans="2:5">
      <c r="B13" s="48">
        <f>AJ8</f>
        <v>44131.75</v>
      </c>
      <c r="C13" s="48">
        <f>AG8</f>
        <v>715.41</v>
      </c>
      <c r="D13" s="48">
        <f>AK8</f>
        <v>0</v>
      </c>
      <c r="E13" s="48">
        <f>B13+C13+D13</f>
        <v>44847.16</v>
      </c>
    </row>
    <row r="14" spans="2:5">
      <c r="B14" s="49"/>
      <c r="C14" s="49"/>
      <c r="D14" s="49"/>
      <c r="E14" s="49"/>
    </row>
    <row r="15" s="14" customFormat="1" spans="1:35">
      <c r="A15" s="50" t="s">
        <v>62</v>
      </c>
      <c r="B15" s="51" t="s">
        <v>63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64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65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66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67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68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69</v>
      </c>
    </row>
    <row r="23" spans="2:2">
      <c r="B23" s="59" t="s">
        <v>70</v>
      </c>
    </row>
    <row r="24" spans="2:2">
      <c r="B24" s="59" t="s">
        <v>71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5"/>
  <sheetViews>
    <sheetView workbookViewId="0">
      <pane xSplit="6" ySplit="3" topLeftCell="S4" activePane="bottomRight" state="frozen"/>
      <selection/>
      <selection pane="topRight"/>
      <selection pane="bottomLeft"/>
      <selection pane="bottomRight" activeCell="B4" sqref="B4:P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">
        <v>177</v>
      </c>
      <c r="G4" s="39">
        <v>18035163638</v>
      </c>
      <c r="H4" s="40"/>
      <c r="I4" s="40"/>
      <c r="J4" s="69"/>
      <c r="K4" s="40"/>
      <c r="L4" s="70">
        <v>7700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L4+IFERROR(VLOOKUP($E:$E,'（居民）工资表-6月'!$E:$S,15,0),0)</f>
        <v>59540</v>
      </c>
      <c r="T4" s="91">
        <f>5000+IFERROR(VLOOKUP($E:$E,'（居民）工资表-6月'!$E:$T,16,0),0)</f>
        <v>35000</v>
      </c>
      <c r="U4" s="91">
        <f>Q4+IFERROR(VLOOKUP($E:$E,'（居民）工资表-6月'!$E:$U,17,0),0)</f>
        <v>3639.3</v>
      </c>
      <c r="V4" s="70"/>
      <c r="W4" s="70"/>
      <c r="X4" s="70">
        <v>7000</v>
      </c>
      <c r="Y4" s="70"/>
      <c r="Z4" s="70"/>
      <c r="AA4" s="70"/>
      <c r="AB4" s="90">
        <f>ROUND(SUM(V4:AA4),2)</f>
        <v>7000</v>
      </c>
      <c r="AC4" s="90">
        <f>R4+IFERROR(VLOOKUP($E:$E,'（居民）工资表-6月'!$E:$AC,25,0),0)</f>
        <v>0</v>
      </c>
      <c r="AD4" s="93">
        <f>ROUND(S4-T4-U4-AB4-AC4,2)</f>
        <v>13900.7</v>
      </c>
      <c r="AE4" s="94">
        <f>ROUND(MAX((AD4)*{0.03;0.1;0.2;0.25;0.3;0.35;0.45}-{0;2520;16920;31920;52920;85920;181920},0),2)</f>
        <v>417.02</v>
      </c>
      <c r="AF4" s="95">
        <f>IFERROR(VLOOKUP(E:E,'（居民）工资表-6月'!E:AF,28,0)+VLOOKUP(E:E,'（居民）工资表-6月'!E:AG,29,0),0)</f>
        <v>381.62</v>
      </c>
      <c r="AG4" s="95">
        <f>IF((AE4-AF4)&lt;0,0,AE4-AF4)</f>
        <v>35.4</v>
      </c>
      <c r="AH4" s="102">
        <f>ROUND(IF((L4-Q4-AG4)&lt;0,0,(L4-Q4-AG4)),2)</f>
        <v>7144.7</v>
      </c>
      <c r="AI4" s="103"/>
      <c r="AJ4" s="102">
        <f>AH4+AI4</f>
        <v>7144.7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IF(SUMPRODUCT(N(E$1:E$8=E4))&gt;1,"重复","不")</f>
        <v>不</v>
      </c>
      <c r="AT4" s="111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57</v>
      </c>
      <c r="D5" s="37" t="s">
        <v>52</v>
      </c>
      <c r="E5" s="367" t="s">
        <v>58</v>
      </c>
      <c r="F5" s="38" t="s">
        <v>178</v>
      </c>
      <c r="G5" s="39">
        <v>13926009696</v>
      </c>
      <c r="H5" s="40"/>
      <c r="I5" s="40"/>
      <c r="J5" s="69"/>
      <c r="K5" s="40"/>
      <c r="L5" s="70">
        <v>4745.45454545455</v>
      </c>
      <c r="M5" s="71">
        <v>304.24</v>
      </c>
      <c r="N5" s="71">
        <v>123.5</v>
      </c>
      <c r="O5" s="71">
        <v>7.61</v>
      </c>
      <c r="P5" s="71">
        <v>0</v>
      </c>
      <c r="Q5" s="89">
        <f>ROUND(SUM(M5:P5),2)</f>
        <v>435.35</v>
      </c>
      <c r="R5" s="70">
        <v>0</v>
      </c>
      <c r="S5" s="90">
        <f>L5+IFERROR(VLOOKUP($E:$E,'（居民）工资表-6月'!$E:$S,15,0),0)</f>
        <v>39545.4545454546</v>
      </c>
      <c r="T5" s="91">
        <f>5000+IFERROR(VLOOKUP($E:$E,'（居民）工资表-6月'!$E:$T,16,0),0)</f>
        <v>35000</v>
      </c>
      <c r="U5" s="91">
        <f>Q5+IFERROR(VLOOKUP($E:$E,'（居民）工资表-6月'!$E:$U,17,0),0)</f>
        <v>3047.45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R5+IFERROR(VLOOKUP($E:$E,'（居民）工资表-6月'!$E:$AC,25,0),0)</f>
        <v>0</v>
      </c>
      <c r="AD5" s="93">
        <f>ROUND(S5-T5-U5-AB5-AC5,2)</f>
        <v>1498</v>
      </c>
      <c r="AE5" s="94">
        <f>ROUND(MAX((AD5)*{0.03;0.1;0.2;0.25;0.3;0.35;0.45}-{0;2520;16920;31920;52920;85920;181920},0),2)</f>
        <v>44.94</v>
      </c>
      <c r="AF5" s="95">
        <f>IFERROR(VLOOKUP(E:E,'（居民）工资表-6月'!E:AF,28,0)+VLOOKUP(E:E,'（居民）工资表-6月'!E:AG,29,0),0)</f>
        <v>65.64</v>
      </c>
      <c r="AG5" s="95">
        <f>IF((AE5-AF5)&lt;0,0,AE5-AF5)</f>
        <v>0</v>
      </c>
      <c r="AH5" s="102">
        <f>ROUND(IF((L5-Q5-AG5)&lt;0,0,(L5-Q5-AG5)),2)</f>
        <v>4310.1</v>
      </c>
      <c r="AI5" s="103"/>
      <c r="AJ5" s="102">
        <f>AH5+AI5</f>
        <v>4310.1</v>
      </c>
      <c r="AK5" s="104"/>
      <c r="AL5" s="102">
        <f>AJ5+AG5+AK5</f>
        <v>4310.1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IF(SUMPRODUCT(N(E$1:E$8=E5))&gt;1,"重复","不")</f>
        <v>不</v>
      </c>
      <c r="AT5" s="111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158</v>
      </c>
      <c r="D6" s="37" t="s">
        <v>52</v>
      </c>
      <c r="E6" s="37" t="s">
        <v>159</v>
      </c>
      <c r="F6" s="38" t="s">
        <v>177</v>
      </c>
      <c r="G6" s="39">
        <v>13944441728</v>
      </c>
      <c r="H6" s="40"/>
      <c r="I6" s="40"/>
      <c r="J6" s="69"/>
      <c r="K6" s="40"/>
      <c r="L6" s="70">
        <v>7000</v>
      </c>
      <c r="M6" s="71">
        <v>244.24</v>
      </c>
      <c r="N6" s="71">
        <v>61.06</v>
      </c>
      <c r="O6" s="71">
        <v>9.16</v>
      </c>
      <c r="P6" s="71">
        <v>79</v>
      </c>
      <c r="Q6" s="89">
        <f>ROUND(SUM(M6:P6),2)</f>
        <v>393.46</v>
      </c>
      <c r="R6" s="70">
        <v>0</v>
      </c>
      <c r="S6" s="90">
        <f>L6+IFERROR(VLOOKUP($E:$E,'（居民）工资表-6月'!$E:$S,15,0),0)</f>
        <v>28140</v>
      </c>
      <c r="T6" s="91">
        <f>5000+IFERROR(VLOOKUP($E:$E,'（居民）工资表-6月'!$E:$T,16,0),0)</f>
        <v>20000</v>
      </c>
      <c r="U6" s="91">
        <f>Q6+IFERROR(VLOOKUP($E:$E,'（居民）工资表-6月'!$E:$U,17,0),0)</f>
        <v>1967.3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R6+IFERROR(VLOOKUP($E:$E,'（居民）工资表-6月'!$E:$AC,25,0),0)</f>
        <v>0</v>
      </c>
      <c r="AD6" s="93">
        <f>ROUND(S6-T6-U6-AB6-AC6,2)</f>
        <v>6172.7</v>
      </c>
      <c r="AE6" s="94">
        <f>ROUND(MAX((AD6)*{0.03;0.1;0.2;0.25;0.3;0.35;0.45}-{0;2520;16920;31920;52920;85920;181920},0),2)</f>
        <v>185.18</v>
      </c>
      <c r="AF6" s="95">
        <f>IFERROR(VLOOKUP(E:E,'（居民）工资表-6月'!E:AF,28,0)+VLOOKUP(E:E,'（居民）工资表-6月'!E:AG,29,0),0)</f>
        <v>136.98</v>
      </c>
      <c r="AG6" s="95">
        <f>IF((AE6-AF6)&lt;0,0,AE6-AF6)</f>
        <v>48.2</v>
      </c>
      <c r="AH6" s="102">
        <f>ROUND(IF((L6-Q6-AG6)&lt;0,0,(L6-Q6-AG6)),2)</f>
        <v>6558.34</v>
      </c>
      <c r="AI6" s="103"/>
      <c r="AJ6" s="102">
        <f>AH6+AI6</f>
        <v>6558.34</v>
      </c>
      <c r="AK6" s="104"/>
      <c r="AL6" s="102">
        <f>AJ6+AG6+AK6</f>
        <v>6606.54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IF(SUMPRODUCT(N(E$1:E$8=E6))&gt;1,"重复","不")</f>
        <v>不</v>
      </c>
      <c r="AT6" s="111" t="str">
        <f>IF(SUMPRODUCT(N(AO$1:AO$8=AO6))&gt;1,"重复","不")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164</v>
      </c>
      <c r="D7" s="37" t="s">
        <v>52</v>
      </c>
      <c r="E7" s="367" t="s">
        <v>165</v>
      </c>
      <c r="F7" s="38" t="s">
        <v>177</v>
      </c>
      <c r="G7" s="39">
        <v>18607383005</v>
      </c>
      <c r="H7" s="40"/>
      <c r="I7" s="40"/>
      <c r="J7" s="69"/>
      <c r="K7" s="40"/>
      <c r="L7" s="70">
        <v>24800</v>
      </c>
      <c r="M7" s="71">
        <f>320</f>
        <v>320</v>
      </c>
      <c r="N7" s="71">
        <f>80</f>
        <v>80</v>
      </c>
      <c r="O7" s="71">
        <f>12</f>
        <v>12</v>
      </c>
      <c r="P7" s="71">
        <v>200</v>
      </c>
      <c r="Q7" s="89">
        <f>ROUND(SUM(M7:P7),2)</f>
        <v>612</v>
      </c>
      <c r="R7" s="70">
        <v>0</v>
      </c>
      <c r="S7" s="90">
        <f>L7+IFERROR(VLOOKUP($E:$E,'（居民）工资表-6月'!$E:$S,15,0),0)</f>
        <v>61704.76</v>
      </c>
      <c r="T7" s="91">
        <f>5000+IFERROR(VLOOKUP($E:$E,'（居民）工资表-6月'!$E:$T,16,0),0)</f>
        <v>15000</v>
      </c>
      <c r="U7" s="91">
        <f>Q7+IFERROR(VLOOKUP($E:$E,'（居民）工资表-6月'!$E:$U,17,0),0)</f>
        <v>1922.67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R7+IFERROR(VLOOKUP($E:$E,'（居民）工资表-6月'!$E:$AC,25,0),0)</f>
        <v>0</v>
      </c>
      <c r="AD7" s="93">
        <f>ROUND(S7-T7-U7-AB7-AC7,2)</f>
        <v>44782.09</v>
      </c>
      <c r="AE7" s="94">
        <f>ROUND(MAX((AD7)*{0.03;0.1;0.2;0.25;0.3;0.35;0.45}-{0;2520;16920;31920;52920;85920;181920},0),2)</f>
        <v>1958.21</v>
      </c>
      <c r="AF7" s="95">
        <f>IFERROR(VLOOKUP(E:E,'（居民）工资表-6月'!E:AF,28,0)+VLOOKUP(E:E,'（居民）工资表-6月'!E:AG,29,0),0)</f>
        <v>767.82</v>
      </c>
      <c r="AG7" s="95">
        <f>IF((AE7-AF7)&lt;0,0,AE7-AF7)</f>
        <v>1190.39</v>
      </c>
      <c r="AH7" s="102">
        <f>ROUND(IF((L7-Q7-AG7)&lt;0,0,(L7-Q7-AG7)),2)</f>
        <v>22997.61</v>
      </c>
      <c r="AI7" s="103"/>
      <c r="AJ7" s="102">
        <f>AH7+AI7</f>
        <v>22997.61</v>
      </c>
      <c r="AK7" s="104"/>
      <c r="AL7" s="102">
        <f>AJ7+AG7+AK7</f>
        <v>24188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IF(SUMPRODUCT(N(E$1:E$8=E7))&gt;1,"重复","不")</f>
        <v>不</v>
      </c>
      <c r="AT7" s="111" t="str">
        <f>IF(SUMPRODUCT(N(AO$1:AO$8=AO7))&gt;1,"重复","不")</f>
        <v>重复</v>
      </c>
    </row>
    <row r="8" s="12" customFormat="1" ht="18" customHeight="1" spans="1:46">
      <c r="A8" s="36">
        <v>5</v>
      </c>
      <c r="B8" s="37" t="s">
        <v>50</v>
      </c>
      <c r="C8" s="37" t="s">
        <v>174</v>
      </c>
      <c r="D8" s="37" t="s">
        <v>52</v>
      </c>
      <c r="E8" s="367" t="s">
        <v>179</v>
      </c>
      <c r="F8" s="38" t="str">
        <f>IF(MOD(MID(E8,17,1),2)=1,"男","女")</f>
        <v>女</v>
      </c>
      <c r="G8" s="39">
        <v>15360550807</v>
      </c>
      <c r="H8" s="40"/>
      <c r="I8" s="40"/>
      <c r="J8" s="69"/>
      <c r="K8" s="40"/>
      <c r="L8" s="70">
        <v>3523.63636363636</v>
      </c>
      <c r="M8" s="71"/>
      <c r="N8" s="71"/>
      <c r="O8" s="71"/>
      <c r="P8" s="71"/>
      <c r="Q8" s="89">
        <f>ROUND(SUM(M8:P8),2)</f>
        <v>0</v>
      </c>
      <c r="R8" s="70">
        <v>0</v>
      </c>
      <c r="S8" s="90">
        <f>L8+IFERROR(VLOOKUP($E:$E,'（居民）工资表-6月'!$E:$S,15,0),0)</f>
        <v>3523.63636363636</v>
      </c>
      <c r="T8" s="91">
        <f>5000+IFERROR(VLOOKUP($E:$E,'（居民）工资表-6月'!$E:$T,16,0),0)</f>
        <v>5000</v>
      </c>
      <c r="U8" s="91">
        <f>Q8+IFERROR(VLOOKUP($E:$E,'（居民）工资表-6月'!$E:$U,17,0),0)</f>
        <v>0</v>
      </c>
      <c r="V8" s="70"/>
      <c r="W8" s="70"/>
      <c r="X8" s="70"/>
      <c r="Y8" s="70"/>
      <c r="Z8" s="70"/>
      <c r="AA8" s="70"/>
      <c r="AB8" s="90">
        <f>ROUND(SUM(V8:AA8),2)</f>
        <v>0</v>
      </c>
      <c r="AC8" s="90">
        <f>R8+IFERROR(VLOOKUP($E:$E,'（居民）工资表-6月'!$E:$AC,25,0),0)</f>
        <v>0</v>
      </c>
      <c r="AD8" s="93">
        <f>ROUND(S8-T8-U8-AB8-AC8,2)</f>
        <v>-1476.36</v>
      </c>
      <c r="AE8" s="94">
        <f>ROUND(MAX((AD8)*{0.03;0.1;0.2;0.25;0.3;0.35;0.45}-{0;2520;16920;31920;52920;85920;181920},0),2)</f>
        <v>0</v>
      </c>
      <c r="AF8" s="95">
        <f>IFERROR(VLOOKUP(E:E,'（居民）工资表-6月'!E:AF,28,0)+VLOOKUP(E:E,'（居民）工资表-6月'!E:AG,29,0),0)</f>
        <v>0</v>
      </c>
      <c r="AG8" s="95">
        <f>IF((AE8-AF8)&lt;0,0,AE8-AF8)</f>
        <v>0</v>
      </c>
      <c r="AH8" s="102">
        <f>ROUND(IF((L8-Q8-AG8)&lt;0,0,(L8-Q8-AG8)),2)</f>
        <v>3523.64</v>
      </c>
      <c r="AI8" s="103"/>
      <c r="AJ8" s="102">
        <f>AH8+AI8</f>
        <v>3523.64</v>
      </c>
      <c r="AK8" s="104"/>
      <c r="AL8" s="102">
        <f>AJ8+AG8+AK8</f>
        <v>3523.64</v>
      </c>
      <c r="AM8" s="104"/>
      <c r="AN8" s="104"/>
      <c r="AO8" s="104"/>
      <c r="AP8" s="104"/>
      <c r="AQ8" s="104"/>
      <c r="AR8" s="111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1" t="str">
        <f>IF(SUMPRODUCT(N(E$1:E$8=E8))&gt;1,"重复","不")</f>
        <v>不</v>
      </c>
      <c r="AT8" s="111" t="str">
        <f>IF(SUMPRODUCT(N(AO$1:AO$8=AO8))&gt;1,"重复","不")</f>
        <v>重复</v>
      </c>
    </row>
    <row r="9" s="13" customFormat="1" ht="18" customHeight="1" spans="1:46">
      <c r="A9" s="41"/>
      <c r="B9" s="42" t="s">
        <v>59</v>
      </c>
      <c r="C9" s="42"/>
      <c r="D9" s="43"/>
      <c r="E9" s="44"/>
      <c r="F9" s="45"/>
      <c r="G9" s="46"/>
      <c r="H9" s="45"/>
      <c r="I9" s="72"/>
      <c r="J9" s="73"/>
      <c r="K9" s="72"/>
      <c r="L9" s="74">
        <f t="shared" ref="L9:AL9" si="0">SUM(L4:L8)</f>
        <v>47769.0909090909</v>
      </c>
      <c r="M9" s="74">
        <f t="shared" si="0"/>
        <v>1132.48</v>
      </c>
      <c r="N9" s="74">
        <f t="shared" si="0"/>
        <v>330.56</v>
      </c>
      <c r="O9" s="74">
        <f t="shared" si="0"/>
        <v>38.67</v>
      </c>
      <c r="P9" s="74">
        <f t="shared" si="0"/>
        <v>459</v>
      </c>
      <c r="Q9" s="74">
        <f t="shared" si="0"/>
        <v>1960.71</v>
      </c>
      <c r="R9" s="74">
        <f t="shared" si="0"/>
        <v>0</v>
      </c>
      <c r="S9" s="74">
        <f t="shared" si="0"/>
        <v>192453.850909091</v>
      </c>
      <c r="T9" s="74">
        <f t="shared" si="0"/>
        <v>110000</v>
      </c>
      <c r="U9" s="74">
        <f t="shared" si="0"/>
        <v>10576.72</v>
      </c>
      <c r="V9" s="74">
        <f t="shared" si="0"/>
        <v>0</v>
      </c>
      <c r="W9" s="74">
        <f t="shared" si="0"/>
        <v>0</v>
      </c>
      <c r="X9" s="74">
        <f t="shared" si="0"/>
        <v>7000</v>
      </c>
      <c r="Y9" s="74">
        <f t="shared" si="0"/>
        <v>0</v>
      </c>
      <c r="Z9" s="74">
        <f t="shared" si="0"/>
        <v>0</v>
      </c>
      <c r="AA9" s="74">
        <f t="shared" si="0"/>
        <v>0</v>
      </c>
      <c r="AB9" s="74">
        <f t="shared" si="0"/>
        <v>7000</v>
      </c>
      <c r="AC9" s="74">
        <f t="shared" si="0"/>
        <v>0</v>
      </c>
      <c r="AD9" s="74">
        <f t="shared" si="0"/>
        <v>64877.13</v>
      </c>
      <c r="AE9" s="74">
        <f t="shared" si="0"/>
        <v>2605.35</v>
      </c>
      <c r="AF9" s="74">
        <f t="shared" si="0"/>
        <v>1352.06</v>
      </c>
      <c r="AG9" s="74">
        <f t="shared" si="0"/>
        <v>1273.99</v>
      </c>
      <c r="AH9" s="74">
        <f t="shared" si="0"/>
        <v>44534.39</v>
      </c>
      <c r="AI9" s="105">
        <f t="shared" si="0"/>
        <v>0</v>
      </c>
      <c r="AJ9" s="74">
        <f t="shared" si="0"/>
        <v>44534.39</v>
      </c>
      <c r="AK9" s="74">
        <f t="shared" si="0"/>
        <v>0</v>
      </c>
      <c r="AL9" s="74">
        <f t="shared" si="0"/>
        <v>45808.38</v>
      </c>
      <c r="AM9" s="106"/>
      <c r="AN9" s="106"/>
      <c r="AO9" s="106"/>
      <c r="AP9" s="106"/>
      <c r="AQ9" s="106"/>
      <c r="AR9" s="45"/>
      <c r="AS9" s="45"/>
      <c r="AT9" s="112"/>
    </row>
    <row r="12" spans="30:30">
      <c r="AD12" s="96"/>
    </row>
    <row r="13" ht="18.75" customHeight="1" spans="2:30">
      <c r="B13" s="47" t="s">
        <v>29</v>
      </c>
      <c r="C13" s="47" t="s">
        <v>60</v>
      </c>
      <c r="D13" s="47" t="s">
        <v>30</v>
      </c>
      <c r="E13" s="47" t="s">
        <v>61</v>
      </c>
      <c r="AD13" s="10"/>
    </row>
    <row r="14" ht="18.75" customHeight="1" spans="2:5">
      <c r="B14" s="48">
        <f>AJ9</f>
        <v>44534.39</v>
      </c>
      <c r="C14" s="48">
        <f>AG9</f>
        <v>1273.99</v>
      </c>
      <c r="D14" s="48">
        <f>AK9</f>
        <v>0</v>
      </c>
      <c r="E14" s="48">
        <f>B14+C14+D14</f>
        <v>45808.38</v>
      </c>
    </row>
    <row r="15" spans="2:5">
      <c r="B15" s="49"/>
      <c r="C15" s="49"/>
      <c r="D15" s="49"/>
      <c r="E15" s="49">
        <f>社保1!BC17</f>
        <v>18730.74</v>
      </c>
    </row>
    <row r="16" s="14" customFormat="1" spans="1:35">
      <c r="A16" s="50" t="s">
        <v>62</v>
      </c>
      <c r="B16" s="51" t="s">
        <v>63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4"/>
      <c r="B17" s="55" t="s">
        <v>64</v>
      </c>
      <c r="C17" s="52"/>
      <c r="D17" s="52"/>
      <c r="E17" s="52"/>
      <c r="G17" s="53"/>
      <c r="J17" s="75"/>
      <c r="M17" s="76"/>
      <c r="AI17" s="107"/>
    </row>
    <row r="18" s="14" customFormat="1" spans="1:35">
      <c r="A18" s="51"/>
      <c r="B18" s="55" t="s">
        <v>65</v>
      </c>
      <c r="C18" s="56"/>
      <c r="D18" s="56"/>
      <c r="E18" s="56"/>
      <c r="F18" s="56"/>
      <c r="G18" s="56"/>
      <c r="H18" s="56"/>
      <c r="I18" s="56"/>
      <c r="J18" s="77"/>
      <c r="K18" s="56"/>
      <c r="L18" s="56"/>
      <c r="M18" s="78"/>
      <c r="N18" s="56"/>
      <c r="O18" s="56"/>
      <c r="P18" s="56"/>
      <c r="AI18" s="107"/>
    </row>
    <row r="19" s="14" customFormat="1" customHeight="1" spans="1:35">
      <c r="A19" s="55"/>
      <c r="B19" s="55" t="s">
        <v>66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67</v>
      </c>
      <c r="C20" s="57"/>
      <c r="D20" s="57"/>
      <c r="E20" s="57"/>
      <c r="F20" s="57"/>
      <c r="G20" s="57"/>
      <c r="H20" s="57"/>
      <c r="I20" s="57"/>
      <c r="J20" s="82"/>
      <c r="K20" s="57"/>
      <c r="L20" s="79"/>
      <c r="M20" s="81"/>
      <c r="N20" s="79"/>
      <c r="O20" s="79"/>
      <c r="P20" s="79"/>
      <c r="AI20" s="107"/>
    </row>
    <row r="21" s="14" customFormat="1" customHeight="1" spans="1:35">
      <c r="A21" s="55"/>
      <c r="B21" s="55" t="s">
        <v>68</v>
      </c>
      <c r="C21" s="57"/>
      <c r="D21" s="57"/>
      <c r="E21" s="57"/>
      <c r="F21" s="57"/>
      <c r="G21" s="57"/>
      <c r="H21" s="57"/>
      <c r="I21" s="79"/>
      <c r="J21" s="80"/>
      <c r="K21" s="79"/>
      <c r="L21" s="79"/>
      <c r="M21" s="81"/>
      <c r="N21" s="79"/>
      <c r="O21" s="79"/>
      <c r="P21" s="79"/>
      <c r="AI21" s="107"/>
    </row>
    <row r="23" ht="11.25" customHeight="1" spans="2:2">
      <c r="B23" s="58" t="s">
        <v>69</v>
      </c>
    </row>
    <row r="24" spans="2:2">
      <c r="B24" s="59" t="s">
        <v>70</v>
      </c>
    </row>
    <row r="25" spans="2:2">
      <c r="B25" s="59" t="s">
        <v>71</v>
      </c>
    </row>
  </sheetData>
  <autoFilter ref="A3:AT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1">
    <cfRule type="duplicateValues" dxfId="0" priority="2" stopIfTrue="1"/>
  </conditionalFormatting>
  <conditionalFormatting sqref="B16:B20">
    <cfRule type="duplicateValues" dxfId="0" priority="3" stopIfTrue="1"/>
  </conditionalFormatting>
  <conditionalFormatting sqref="B24:B25">
    <cfRule type="duplicateValues" dxfId="0" priority="1" stopIfTrue="1"/>
  </conditionalFormatting>
  <conditionalFormatting sqref="C13:C15">
    <cfRule type="duplicateValues" dxfId="0" priority="4" stopIfTrue="1"/>
    <cfRule type="expression" dxfId="1" priority="5" stopIfTrue="1">
      <formula>AND(COUNTIF($B$9:$B$65445,C13)+COUNTIF($B$1:$B$3,C13)&gt;1,NOT(ISBLANK(C13)))</formula>
    </cfRule>
    <cfRule type="expression" dxfId="1" priority="6" stopIfTrue="1">
      <formula>AND(COUNTIF($B$20:$B$65396,C13)+COUNTIF($B$1:$B$19,C13)&gt;1,NOT(ISBLANK(C13)))</formula>
    </cfRule>
    <cfRule type="expression" dxfId="1" priority="7" stopIfTrue="1">
      <formula>AND(COUNTIF($B$9:$B$65434,C13)+COUNTIF($B$1:$B$3,C13)&gt;1,NOT(ISBLANK(C13)))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4"/>
  <sheetViews>
    <sheetView topLeftCell="J1" workbookViewId="0">
      <selection activeCell="K37" sqref="K37"/>
    </sheetView>
  </sheetViews>
  <sheetFormatPr defaultColWidth="9" defaultRowHeight="12"/>
  <cols>
    <col min="1" max="1" width="5" style="118" hidden="1" customWidth="1"/>
    <col min="2" max="2" width="9.375" style="119" hidden="1" customWidth="1"/>
    <col min="3" max="3" width="9.625" style="119" hidden="1" customWidth="1"/>
    <col min="4" max="4" width="13.125" style="119" hidden="1" customWidth="1"/>
    <col min="5" max="5" width="25.75" style="118" hidden="1" customWidth="1"/>
    <col min="6" max="6" width="29.375" style="118" hidden="1" customWidth="1"/>
    <col min="7" max="7" width="10.25" style="120" hidden="1" customWidth="1"/>
    <col min="8" max="9" width="8.5" style="118" hidden="1" customWidth="1"/>
    <col min="10" max="10" width="8.5" style="118" customWidth="1"/>
    <col min="11" max="11" width="18" style="118" customWidth="1"/>
    <col min="12" max="12" width="11.25" style="118" customWidth="1"/>
    <col min="13" max="13" width="12.25" style="118" customWidth="1"/>
    <col min="14" max="14" width="8.5" style="118" customWidth="1"/>
    <col min="15" max="15" width="10.25" style="118" customWidth="1"/>
    <col min="16" max="16" width="8.5" style="118" customWidth="1"/>
    <col min="17" max="17" width="8.5" style="121" customWidth="1"/>
    <col min="18" max="18" width="10.25" style="119" customWidth="1"/>
    <col min="19" max="19" width="12.25" style="118" customWidth="1"/>
    <col min="20" max="23" width="12.5" style="118" customWidth="1"/>
    <col min="24" max="24" width="10.75" style="118" customWidth="1"/>
    <col min="25" max="25" width="12.5" style="118" customWidth="1"/>
    <col min="26" max="26" width="14.125" style="118" customWidth="1"/>
    <col min="27" max="27" width="12.5" style="118" customWidth="1"/>
    <col min="28" max="28" width="16.25" style="118" customWidth="1"/>
    <col min="29" max="29" width="12.5" style="118" customWidth="1"/>
    <col min="30" max="30" width="16.125" style="118" customWidth="1"/>
    <col min="31" max="31" width="12.25" style="118" customWidth="1"/>
    <col min="32" max="33" width="16.125" style="118" customWidth="1"/>
    <col min="34" max="34" width="20.5" style="118" customWidth="1"/>
    <col min="35" max="35" width="8.5" style="118" customWidth="1"/>
    <col min="36" max="36" width="5" style="118" customWidth="1"/>
    <col min="37" max="37" width="10.25" style="118" customWidth="1"/>
    <col min="38" max="38" width="14.25" style="122" customWidth="1"/>
    <col min="39" max="39" width="11.5" style="122" customWidth="1"/>
    <col min="40" max="40" width="13.875" style="122" customWidth="1"/>
    <col min="41" max="41" width="13.625" style="122" customWidth="1"/>
    <col min="42" max="16384" width="9" style="118"/>
  </cols>
  <sheetData>
    <row r="1" s="113" customFormat="1" ht="16.5" spans="1:41">
      <c r="A1" s="123" t="s">
        <v>2</v>
      </c>
      <c r="B1" s="124" t="s">
        <v>180</v>
      </c>
      <c r="C1" s="123" t="s">
        <v>111</v>
      </c>
      <c r="D1" s="123" t="s">
        <v>181</v>
      </c>
      <c r="E1" s="123" t="s">
        <v>182</v>
      </c>
      <c r="F1" s="124" t="s">
        <v>108</v>
      </c>
      <c r="G1" s="125" t="s">
        <v>183</v>
      </c>
      <c r="H1" s="123" t="s">
        <v>110</v>
      </c>
      <c r="I1" s="123" t="s">
        <v>184</v>
      </c>
      <c r="J1" s="124" t="s">
        <v>112</v>
      </c>
      <c r="K1" s="124" t="s">
        <v>185</v>
      </c>
      <c r="L1" s="124" t="s">
        <v>186</v>
      </c>
      <c r="M1" s="124" t="s">
        <v>187</v>
      </c>
      <c r="N1" s="124" t="s">
        <v>188</v>
      </c>
      <c r="O1" s="124" t="s">
        <v>189</v>
      </c>
      <c r="P1" s="124" t="s">
        <v>190</v>
      </c>
      <c r="Q1" s="146" t="s">
        <v>191</v>
      </c>
      <c r="R1" s="124" t="s">
        <v>192</v>
      </c>
      <c r="S1" s="147" t="s">
        <v>193</v>
      </c>
      <c r="T1" s="148" t="s">
        <v>194</v>
      </c>
      <c r="U1" s="148"/>
      <c r="V1" s="148"/>
      <c r="W1" s="148"/>
      <c r="X1" s="148"/>
      <c r="Y1" s="148"/>
      <c r="Z1" s="147" t="s">
        <v>195</v>
      </c>
      <c r="AA1" s="124" t="s">
        <v>196</v>
      </c>
      <c r="AB1" s="124"/>
      <c r="AC1" s="124"/>
      <c r="AD1" s="123" t="s">
        <v>197</v>
      </c>
      <c r="AE1" s="123" t="s">
        <v>198</v>
      </c>
      <c r="AF1" s="123" t="s">
        <v>199</v>
      </c>
      <c r="AG1" s="123" t="s">
        <v>200</v>
      </c>
      <c r="AH1" s="123" t="s">
        <v>201</v>
      </c>
      <c r="AI1" s="123" t="s">
        <v>202</v>
      </c>
      <c r="AJ1" s="123" t="s">
        <v>94</v>
      </c>
      <c r="AK1" s="155" t="s">
        <v>203</v>
      </c>
      <c r="AL1" s="156" t="s">
        <v>204</v>
      </c>
      <c r="AM1" s="156" t="s">
        <v>205</v>
      </c>
      <c r="AN1" s="157" t="s">
        <v>206</v>
      </c>
      <c r="AO1" s="157" t="s">
        <v>207</v>
      </c>
    </row>
    <row r="2" s="114" customFormat="1" ht="24" spans="1:41">
      <c r="A2" s="123"/>
      <c r="B2" s="124"/>
      <c r="C2" s="123"/>
      <c r="D2" s="123"/>
      <c r="E2" s="123"/>
      <c r="F2" s="124"/>
      <c r="G2" s="125"/>
      <c r="H2" s="123"/>
      <c r="I2" s="123"/>
      <c r="J2" s="124"/>
      <c r="K2" s="124"/>
      <c r="L2" s="124"/>
      <c r="M2" s="124"/>
      <c r="N2" s="124"/>
      <c r="O2" s="124"/>
      <c r="P2" s="124"/>
      <c r="Q2" s="146"/>
      <c r="R2" s="124"/>
      <c r="S2" s="147"/>
      <c r="T2" s="148" t="s">
        <v>208</v>
      </c>
      <c r="U2" s="148" t="s">
        <v>209</v>
      </c>
      <c r="V2" s="148" t="s">
        <v>210</v>
      </c>
      <c r="W2" s="148" t="s">
        <v>211</v>
      </c>
      <c r="X2" s="148" t="s">
        <v>212</v>
      </c>
      <c r="Y2" s="148" t="s">
        <v>213</v>
      </c>
      <c r="Z2" s="147"/>
      <c r="AA2" s="148" t="s">
        <v>214</v>
      </c>
      <c r="AB2" s="148" t="s">
        <v>215</v>
      </c>
      <c r="AC2" s="148" t="s">
        <v>216</v>
      </c>
      <c r="AD2" s="123"/>
      <c r="AE2" s="123"/>
      <c r="AF2" s="123"/>
      <c r="AG2" s="123"/>
      <c r="AH2" s="123"/>
      <c r="AI2" s="123"/>
      <c r="AJ2" s="123"/>
      <c r="AK2" s="155"/>
      <c r="AL2" s="156"/>
      <c r="AM2" s="156"/>
      <c r="AN2" s="157"/>
      <c r="AO2" s="158"/>
    </row>
    <row r="3" s="115" customFormat="1" ht="14.25" spans="1:37">
      <c r="A3" s="126">
        <v>1</v>
      </c>
      <c r="B3" s="127">
        <v>44306</v>
      </c>
      <c r="C3" s="128"/>
      <c r="D3" s="128" t="s">
        <v>217</v>
      </c>
      <c r="E3" s="126"/>
      <c r="F3" s="129" t="s">
        <v>140</v>
      </c>
      <c r="G3" s="129"/>
      <c r="H3" s="126" t="s">
        <v>142</v>
      </c>
      <c r="I3" s="126"/>
      <c r="J3" s="137" t="s">
        <v>164</v>
      </c>
      <c r="K3" s="368" t="s">
        <v>165</v>
      </c>
      <c r="L3" s="126">
        <v>18607383005</v>
      </c>
      <c r="M3" s="129"/>
      <c r="N3" s="126" t="s">
        <v>218</v>
      </c>
      <c r="O3" s="126" t="s">
        <v>168</v>
      </c>
      <c r="P3" s="126" t="s">
        <v>219</v>
      </c>
      <c r="Q3" s="127">
        <v>44296</v>
      </c>
      <c r="R3" s="126" t="s">
        <v>220</v>
      </c>
      <c r="S3" s="129" t="s">
        <v>221</v>
      </c>
      <c r="T3" s="149">
        <v>2021.05</v>
      </c>
      <c r="U3" s="126">
        <v>4000</v>
      </c>
      <c r="V3" s="126">
        <v>4000</v>
      </c>
      <c r="W3" s="126">
        <v>4000</v>
      </c>
      <c r="X3" s="126">
        <v>4000</v>
      </c>
      <c r="Y3" s="126">
        <v>4000</v>
      </c>
      <c r="Z3" s="129" t="s">
        <v>221</v>
      </c>
      <c r="AA3" s="152" t="s">
        <v>222</v>
      </c>
      <c r="AB3" s="152" t="s">
        <v>223</v>
      </c>
      <c r="AC3" s="152" t="s">
        <v>224</v>
      </c>
      <c r="AD3" s="126" t="s">
        <v>225</v>
      </c>
      <c r="AE3" s="126"/>
      <c r="AF3" s="126"/>
      <c r="AG3" s="126"/>
      <c r="AH3" s="126"/>
      <c r="AI3" s="126"/>
      <c r="AJ3" s="126"/>
      <c r="AK3" s="129" t="str">
        <f>IF(LEN(K3)=18,IF(RIGHT(K3,1)="X"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,"正确","错误"),IF(CHOOSE(MOD(SUM(LEFT(RIGHT(K3,18))*7+LEFT(RIGHT(K3,17))*9+LEFT(RIGHT(K3,16))*10+LEFT(RIGHT(K3,15))*5+LEFT(RIGHT(K3,14))*8+LEFT(RIGHT(K3,13))*4+LEFT(RIGHT(K3,12))*2+LEFT(RIGHT(K3,11))*1+LEFT(RIGHT(K3,10))*6+LEFT(RIGHT(K3,9))*3+LEFT(RIGHT(K3,8))*7+LEFT(RIGHT(K3,7))*9+LEFT(RIGHT(K3,6))*10+LEFT(RIGHT(K3,5))*5+LEFT(RIGHT(K3,4))*8+LEFT(RIGHT(K3,3))*4+LEFT(RIGHT(K3,2))*2),11)+1,1,0,"X",9,8,7,6,5,4,3,2)=LEFT(RIGHT(K3,1))*1,"正确","错误")),IF(LEN(K3)=15,"老号，请注意！",IF(LEN(K3)=0,"未填写身份证号码","位数不对！")))</f>
        <v>正确</v>
      </c>
    </row>
    <row r="4" s="116" customFormat="1" spans="1:37">
      <c r="A4" s="126"/>
      <c r="B4" s="127"/>
      <c r="C4" s="130"/>
      <c r="D4" s="128"/>
      <c r="E4" s="131"/>
      <c r="F4" s="129"/>
      <c r="G4" s="132"/>
      <c r="H4" s="131"/>
      <c r="I4" s="131"/>
      <c r="J4" s="139"/>
      <c r="K4" s="139"/>
      <c r="L4" s="131"/>
      <c r="M4" s="132"/>
      <c r="N4" s="131"/>
      <c r="O4" s="131"/>
      <c r="P4" s="126"/>
      <c r="Q4" s="133"/>
      <c r="R4" s="126"/>
      <c r="S4" s="129"/>
      <c r="T4" s="150"/>
      <c r="U4" s="131"/>
      <c r="V4" s="131"/>
      <c r="W4" s="131"/>
      <c r="X4" s="131"/>
      <c r="Y4" s="131"/>
      <c r="Z4" s="129"/>
      <c r="AA4" s="153"/>
      <c r="AB4" s="153"/>
      <c r="AC4" s="153"/>
      <c r="AD4" s="131"/>
      <c r="AE4" s="131"/>
      <c r="AF4" s="131"/>
      <c r="AG4" s="131"/>
      <c r="AH4" s="131"/>
      <c r="AI4" s="131"/>
      <c r="AJ4" s="131"/>
      <c r="AK4" s="129" t="str">
        <f>IF(LEN(K4)=18,IF(RIGHT(K4,1)="X"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,"正确","错误"),IF(CHOOSE(MOD(SUM(LEFT(RIGHT(K4,18))*7+LEFT(RIGHT(K4,17))*9+LEFT(RIGHT(K4,16))*10+LEFT(RIGHT(K4,15))*5+LEFT(RIGHT(K4,14))*8+LEFT(RIGHT(K4,13))*4+LEFT(RIGHT(K4,12))*2+LEFT(RIGHT(K4,11))*1+LEFT(RIGHT(K4,10))*6+LEFT(RIGHT(K4,9))*3+LEFT(RIGHT(K4,8))*7+LEFT(RIGHT(K4,7))*9+LEFT(RIGHT(K4,6))*10+LEFT(RIGHT(K4,5))*5+LEFT(RIGHT(K4,4))*8+LEFT(RIGHT(K4,3))*4+LEFT(RIGHT(K4,2))*2),11)+1,1,0,"X",9,8,7,6,5,4,3,2)=LEFT(RIGHT(K4,1))*1,"正确","错误")),IF(LEN(K4)=15,"老号，请注意！",IF(LEN(K4)=0,"未填写身份证号码","位数不对！")))</f>
        <v>未填写身份证号码</v>
      </c>
    </row>
    <row r="5" s="116" customFormat="1" spans="1:37">
      <c r="A5" s="131"/>
      <c r="B5" s="133"/>
      <c r="C5" s="130"/>
      <c r="D5" s="130"/>
      <c r="E5" s="131"/>
      <c r="F5" s="132"/>
      <c r="G5" s="132"/>
      <c r="H5" s="131"/>
      <c r="I5" s="131"/>
      <c r="J5" s="140"/>
      <c r="K5" s="140"/>
      <c r="L5" s="131"/>
      <c r="M5" s="132"/>
      <c r="N5" s="131"/>
      <c r="O5" s="131"/>
      <c r="P5" s="131"/>
      <c r="Q5" s="133"/>
      <c r="R5" s="131"/>
      <c r="S5" s="132"/>
      <c r="T5" s="131"/>
      <c r="U5" s="131"/>
      <c r="V5" s="131"/>
      <c r="W5" s="131"/>
      <c r="X5" s="131"/>
      <c r="Y5" s="131"/>
      <c r="Z5" s="132"/>
      <c r="AA5" s="153"/>
      <c r="AB5" s="153"/>
      <c r="AC5" s="153"/>
      <c r="AD5" s="131"/>
      <c r="AE5" s="131"/>
      <c r="AF5" s="131"/>
      <c r="AG5" s="131"/>
      <c r="AH5" s="131"/>
      <c r="AI5" s="131"/>
      <c r="AJ5" s="131"/>
      <c r="AK5" s="132"/>
    </row>
    <row r="6" s="116" customFormat="1" spans="1:37">
      <c r="A6" s="131"/>
      <c r="B6" s="133"/>
      <c r="C6" s="130"/>
      <c r="D6" s="130"/>
      <c r="E6" s="131"/>
      <c r="F6" s="132"/>
      <c r="G6" s="132"/>
      <c r="H6" s="131"/>
      <c r="I6" s="131"/>
      <c r="J6" s="140"/>
      <c r="K6" s="140"/>
      <c r="L6" s="131"/>
      <c r="M6" s="132"/>
      <c r="N6" s="131"/>
      <c r="O6" s="131"/>
      <c r="P6" s="131"/>
      <c r="Q6" s="133"/>
      <c r="R6" s="131"/>
      <c r="S6" s="132"/>
      <c r="T6" s="131"/>
      <c r="U6" s="131"/>
      <c r="V6" s="131"/>
      <c r="W6" s="131"/>
      <c r="X6" s="131"/>
      <c r="Y6" s="131"/>
      <c r="Z6" s="132"/>
      <c r="AA6" s="153"/>
      <c r="AB6" s="153"/>
      <c r="AC6" s="153"/>
      <c r="AD6" s="131"/>
      <c r="AE6" s="131"/>
      <c r="AF6" s="131"/>
      <c r="AG6" s="131"/>
      <c r="AH6" s="131"/>
      <c r="AI6" s="131"/>
      <c r="AJ6" s="131"/>
      <c r="AK6" s="132"/>
    </row>
    <row r="7" s="116" customFormat="1" spans="1:37">
      <c r="A7" s="131"/>
      <c r="B7" s="133"/>
      <c r="C7" s="130"/>
      <c r="D7" s="130"/>
      <c r="E7" s="131"/>
      <c r="F7" s="132"/>
      <c r="G7" s="132"/>
      <c r="H7" s="131"/>
      <c r="I7" s="131"/>
      <c r="J7" s="140"/>
      <c r="K7" s="140"/>
      <c r="L7" s="131"/>
      <c r="M7" s="132"/>
      <c r="N7" s="131"/>
      <c r="O7" s="131"/>
      <c r="P7" s="131"/>
      <c r="Q7" s="133"/>
      <c r="R7" s="131"/>
      <c r="S7" s="132"/>
      <c r="T7" s="131"/>
      <c r="U7" s="131"/>
      <c r="V7" s="131"/>
      <c r="W7" s="131"/>
      <c r="X7" s="131"/>
      <c r="Y7" s="131"/>
      <c r="Z7" s="132"/>
      <c r="AA7" s="153"/>
      <c r="AB7" s="153"/>
      <c r="AC7" s="153"/>
      <c r="AD7" s="131"/>
      <c r="AE7" s="131"/>
      <c r="AF7" s="131"/>
      <c r="AG7" s="131"/>
      <c r="AH7" s="131"/>
      <c r="AI7" s="131"/>
      <c r="AJ7" s="131"/>
      <c r="AK7" s="132"/>
    </row>
    <row r="8" s="116" customFormat="1" spans="1:37">
      <c r="A8" s="131"/>
      <c r="B8" s="133"/>
      <c r="C8" s="130"/>
      <c r="D8" s="130"/>
      <c r="E8" s="131"/>
      <c r="F8" s="132"/>
      <c r="G8" s="132"/>
      <c r="H8" s="131"/>
      <c r="I8" s="131"/>
      <c r="J8" s="140" t="s">
        <v>226</v>
      </c>
      <c r="K8" s="140"/>
      <c r="L8" s="131"/>
      <c r="M8" s="132"/>
      <c r="N8" s="131"/>
      <c r="O8" s="131"/>
      <c r="P8" s="131"/>
      <c r="Q8" s="133"/>
      <c r="R8" s="131"/>
      <c r="S8" s="132"/>
      <c r="T8" s="131"/>
      <c r="U8" s="131"/>
      <c r="V8" s="131"/>
      <c r="W8" s="131"/>
      <c r="X8" s="131"/>
      <c r="Y8" s="131"/>
      <c r="Z8" s="132"/>
      <c r="AA8" s="153"/>
      <c r="AB8" s="153"/>
      <c r="AC8" s="153"/>
      <c r="AD8" s="131"/>
      <c r="AE8" s="131"/>
      <c r="AF8" s="131"/>
      <c r="AG8" s="131"/>
      <c r="AH8" s="131"/>
      <c r="AI8" s="131"/>
      <c r="AJ8" s="131"/>
      <c r="AK8" s="132"/>
    </row>
    <row r="9" s="116" customFormat="1" ht="12.75" spans="1:37">
      <c r="A9" s="131"/>
      <c r="B9" s="133"/>
      <c r="C9" s="130"/>
      <c r="D9" s="130"/>
      <c r="E9" s="131"/>
      <c r="F9" s="132"/>
      <c r="G9" s="132"/>
      <c r="H9" s="131"/>
      <c r="I9" s="131"/>
      <c r="J9" s="131" t="s">
        <v>149</v>
      </c>
      <c r="K9" s="141" t="s">
        <v>142</v>
      </c>
      <c r="L9" s="142" t="s">
        <v>150</v>
      </c>
      <c r="M9" s="143" t="s">
        <v>57</v>
      </c>
      <c r="N9" s="365" t="s">
        <v>58</v>
      </c>
      <c r="O9" s="131"/>
      <c r="P9" s="131"/>
      <c r="Q9" s="151">
        <v>202106</v>
      </c>
      <c r="R9" s="131"/>
      <c r="S9" s="132"/>
      <c r="T9" s="131"/>
      <c r="U9" s="131"/>
      <c r="V9" s="131"/>
      <c r="W9" s="131"/>
      <c r="X9" s="131"/>
      <c r="Y9" s="131"/>
      <c r="Z9" s="132"/>
      <c r="AA9" s="153"/>
      <c r="AB9" s="153"/>
      <c r="AC9" s="153"/>
      <c r="AD9" s="131"/>
      <c r="AE9" s="131"/>
      <c r="AF9" s="131"/>
      <c r="AG9" s="131"/>
      <c r="AH9" s="131"/>
      <c r="AI9" s="131"/>
      <c r="AJ9" s="131"/>
      <c r="AK9" s="132"/>
    </row>
    <row r="10" s="116" customFormat="1" spans="1:37">
      <c r="A10" s="131"/>
      <c r="B10" s="133"/>
      <c r="C10" s="130"/>
      <c r="D10" s="130"/>
      <c r="E10" s="131"/>
      <c r="F10" s="132"/>
      <c r="G10" s="132"/>
      <c r="H10" s="131"/>
      <c r="I10" s="131"/>
      <c r="J10" s="140"/>
      <c r="K10" s="140"/>
      <c r="L10" s="131"/>
      <c r="M10" s="132"/>
      <c r="N10" s="131"/>
      <c r="O10" s="131"/>
      <c r="P10" s="131"/>
      <c r="Q10" s="133"/>
      <c r="R10" s="131"/>
      <c r="S10" s="132"/>
      <c r="T10" s="131"/>
      <c r="U10" s="131"/>
      <c r="V10" s="131"/>
      <c r="W10" s="131"/>
      <c r="X10" s="131"/>
      <c r="Y10" s="131"/>
      <c r="Z10" s="132"/>
      <c r="AA10" s="153"/>
      <c r="AB10" s="153"/>
      <c r="AC10" s="153"/>
      <c r="AD10" s="131"/>
      <c r="AE10" s="131"/>
      <c r="AF10" s="131"/>
      <c r="AG10" s="131"/>
      <c r="AH10" s="131"/>
      <c r="AI10" s="131"/>
      <c r="AJ10" s="131"/>
      <c r="AK10" s="132"/>
    </row>
    <row r="11" s="116" customFormat="1" spans="1:37">
      <c r="A11" s="131"/>
      <c r="B11" s="133"/>
      <c r="C11" s="130"/>
      <c r="D11" s="130"/>
      <c r="E11" s="131"/>
      <c r="F11" s="132"/>
      <c r="G11" s="132"/>
      <c r="H11" s="131"/>
      <c r="I11" s="131"/>
      <c r="J11" s="140"/>
      <c r="K11" s="140"/>
      <c r="L11" s="131"/>
      <c r="M11" s="132"/>
      <c r="N11" s="131"/>
      <c r="O11" s="131"/>
      <c r="P11" s="131"/>
      <c r="Q11" s="133"/>
      <c r="R11" s="131"/>
      <c r="S11" s="132"/>
      <c r="T11" s="131"/>
      <c r="U11" s="131"/>
      <c r="V11" s="131"/>
      <c r="W11" s="131"/>
      <c r="X11" s="131"/>
      <c r="Y11" s="131"/>
      <c r="Z11" s="132"/>
      <c r="AA11" s="153"/>
      <c r="AB11" s="153"/>
      <c r="AC11" s="153"/>
      <c r="AD11" s="131"/>
      <c r="AE11" s="131"/>
      <c r="AF11" s="131"/>
      <c r="AG11" s="131"/>
      <c r="AH11" s="131"/>
      <c r="AI11" s="131"/>
      <c r="AJ11" s="131"/>
      <c r="AK11" s="132"/>
    </row>
    <row r="12" s="117" customFormat="1" spans="1:41">
      <c r="A12" s="134"/>
      <c r="B12" s="135"/>
      <c r="C12" s="130"/>
      <c r="D12" s="130"/>
      <c r="E12" s="131"/>
      <c r="F12" s="132"/>
      <c r="G12" s="136"/>
      <c r="H12" s="134"/>
      <c r="I12" s="131"/>
      <c r="J12" s="140"/>
      <c r="K12" s="140"/>
      <c r="L12" s="131"/>
      <c r="M12" s="132"/>
      <c r="N12" s="134"/>
      <c r="O12" s="134"/>
      <c r="P12" s="134"/>
      <c r="Q12" s="134"/>
      <c r="R12" s="134"/>
      <c r="S12" s="132"/>
      <c r="T12" s="134"/>
      <c r="U12" s="134"/>
      <c r="V12" s="134"/>
      <c r="W12" s="134"/>
      <c r="X12" s="134"/>
      <c r="Y12" s="134"/>
      <c r="Z12" s="132"/>
      <c r="AA12" s="154"/>
      <c r="AB12" s="154"/>
      <c r="AC12" s="154"/>
      <c r="AD12" s="134"/>
      <c r="AE12" s="134"/>
      <c r="AF12" s="134"/>
      <c r="AG12" s="134"/>
      <c r="AH12" s="134"/>
      <c r="AI12" s="134"/>
      <c r="AJ12" s="134"/>
      <c r="AK12" s="132"/>
      <c r="AL12" s="116"/>
      <c r="AM12" s="116"/>
      <c r="AN12" s="116"/>
      <c r="AO12" s="116"/>
    </row>
    <row r="13" s="117" customFormat="1" spans="1:41">
      <c r="A13" s="134"/>
      <c r="B13" s="135"/>
      <c r="C13" s="130"/>
      <c r="D13" s="130"/>
      <c r="E13" s="131"/>
      <c r="F13" s="132"/>
      <c r="G13" s="136"/>
      <c r="H13" s="134"/>
      <c r="I13" s="134"/>
      <c r="J13" s="145"/>
      <c r="K13" s="145"/>
      <c r="L13" s="134"/>
      <c r="M13" s="132"/>
      <c r="N13" s="134"/>
      <c r="O13" s="134"/>
      <c r="P13" s="134"/>
      <c r="Q13" s="134"/>
      <c r="R13" s="134"/>
      <c r="S13" s="132"/>
      <c r="T13" s="134"/>
      <c r="U13" s="134"/>
      <c r="V13" s="134"/>
      <c r="W13" s="134"/>
      <c r="X13" s="134"/>
      <c r="Y13" s="134"/>
      <c r="Z13" s="132"/>
      <c r="AA13" s="154"/>
      <c r="AB13" s="154"/>
      <c r="AC13" s="154"/>
      <c r="AD13" s="134"/>
      <c r="AE13" s="134"/>
      <c r="AF13" s="134"/>
      <c r="AG13" s="134"/>
      <c r="AH13" s="134"/>
      <c r="AI13" s="134"/>
      <c r="AJ13" s="134"/>
      <c r="AK13" s="132"/>
      <c r="AL13" s="116"/>
      <c r="AM13" s="116"/>
      <c r="AN13" s="116"/>
      <c r="AO13" s="116"/>
    </row>
    <row r="14" s="117" customFormat="1" spans="1:41">
      <c r="A14" s="134"/>
      <c r="B14" s="135"/>
      <c r="C14" s="130"/>
      <c r="D14" s="130"/>
      <c r="E14" s="131"/>
      <c r="F14" s="132"/>
      <c r="G14" s="136"/>
      <c r="H14" s="134"/>
      <c r="I14" s="134"/>
      <c r="J14" s="145"/>
      <c r="K14" s="145"/>
      <c r="L14" s="134"/>
      <c r="M14" s="132"/>
      <c r="N14" s="134"/>
      <c r="O14" s="134"/>
      <c r="P14" s="134"/>
      <c r="Q14" s="134"/>
      <c r="R14" s="134"/>
      <c r="S14" s="132"/>
      <c r="T14" s="134"/>
      <c r="U14" s="134"/>
      <c r="V14" s="134"/>
      <c r="W14" s="134"/>
      <c r="X14" s="134"/>
      <c r="Y14" s="134"/>
      <c r="Z14" s="132"/>
      <c r="AA14" s="154"/>
      <c r="AB14" s="154"/>
      <c r="AC14" s="154"/>
      <c r="AD14" s="134"/>
      <c r="AE14" s="134"/>
      <c r="AF14" s="134"/>
      <c r="AG14" s="134"/>
      <c r="AH14" s="134"/>
      <c r="AI14" s="134"/>
      <c r="AJ14" s="134"/>
      <c r="AK14" s="132"/>
      <c r="AL14" s="116"/>
      <c r="AM14" s="116"/>
      <c r="AN14" s="116"/>
      <c r="AO14" s="116"/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</mergeCells>
  <conditionalFormatting sqref="J12:J14">
    <cfRule type="duplicateValues" dxfId="0" priority="3"/>
  </conditionalFormatting>
  <conditionalFormatting sqref="J5:J8 J10:J11">
    <cfRule type="duplicateValues" dxfId="0" priority="2"/>
    <cfRule type="duplicateValues" dxfId="0" priority="1"/>
  </conditionalFormatting>
  <dataValidations count="7">
    <dataValidation type="list" allowBlank="1" showInputMessage="1" showErrorMessage="1" sqref="P3:P4 P5:P11">
      <formula1>"本地城镇,本地农村,外地城镇,外地农村"</formula1>
    </dataValidation>
    <dataValidation type="list" allowBlank="1" showInputMessage="1" showErrorMessage="1" sqref="C3:C14">
      <formula1>"华北销售部,华东销售部,微蜂事业部,外包一体化事业部"</formula1>
    </dataValidation>
    <dataValidation type="list" allowBlank="1" showInputMessage="1" showErrorMessage="1" sqref="D3:D4 D5:D14">
      <formula1>"北京易才博普奥,上海易铭天,杭州易才凯捷,上海傲云,上海曙夕"</formula1>
    </dataValidation>
    <dataValidation type="list" allowBlank="1" showInputMessage="1" showErrorMessage="1" sqref="H3:H11">
      <formula1>"派遣,代理"</formula1>
    </dataValidation>
    <dataValidation type="list" allowBlank="1" showInputMessage="1" showErrorMessage="1" sqref="H15:H64411">
      <formula1>#REF!</formula1>
    </dataValidation>
    <dataValidation type="list" allowBlank="1" showInputMessage="1" showErrorMessage="1" sqref="M3:M8 M10:M14">
      <formula1>"是,否"</formula1>
    </dataValidation>
    <dataValidation type="list" allowBlank="1" showInputMessage="1" showErrorMessage="1" sqref="S3:S4 S5:S14 Z3:Z4 Z5:Z14">
      <formula1>"新参,调入"</formula1>
    </dataValidation>
  </dataValidation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X12" sqref="X12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37" t="s">
        <v>51</v>
      </c>
      <c r="D4" s="37" t="s">
        <v>52</v>
      </c>
      <c r="E4" s="37" t="s">
        <v>53</v>
      </c>
      <c r="F4" s="38" t="s">
        <v>177</v>
      </c>
      <c r="G4" s="39">
        <v>18035163638</v>
      </c>
      <c r="H4" s="40"/>
      <c r="I4" s="40"/>
      <c r="J4" s="69"/>
      <c r="K4" s="40"/>
      <c r="L4" s="70">
        <v>8660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L4+IFERROR(VLOOKUP($E:$E,'（居民）工资表-7月'!$E:$S,15,0),0)</f>
        <v>68200</v>
      </c>
      <c r="T4" s="91">
        <f>5000+IFERROR(VLOOKUP($E:$E,'（居民）工资表-7月'!$E:$T,16,0),0)</f>
        <v>40000</v>
      </c>
      <c r="U4" s="91">
        <f>Q4+IFERROR(VLOOKUP($E:$E,'（居民）工资表-7月'!$E:$U,17,0),0)</f>
        <v>4159.2</v>
      </c>
      <c r="V4" s="70"/>
      <c r="W4" s="70"/>
      <c r="X4" s="70">
        <v>8000</v>
      </c>
      <c r="Y4" s="70"/>
      <c r="Z4" s="70"/>
      <c r="AA4" s="70"/>
      <c r="AB4" s="90">
        <f>ROUND(SUM(V4:AA4),2)</f>
        <v>8000</v>
      </c>
      <c r="AC4" s="90">
        <f>R4+IFERROR(VLOOKUP($E:$E,'（居民）工资表-7月'!$E:$AC,25,0),0)</f>
        <v>0</v>
      </c>
      <c r="AD4" s="93">
        <f>ROUND(S4-T4-U4-AB4-AC4,2)</f>
        <v>16040.8</v>
      </c>
      <c r="AE4" s="94">
        <f>ROUND(MAX((AD4)*{0.03;0.1;0.2;0.25;0.3;0.35;0.45}-{0;2520;16920;31920;52920;85920;181920},0),2)</f>
        <v>481.22</v>
      </c>
      <c r="AF4" s="95">
        <f>IFERROR(VLOOKUP(E:E,'（居民）工资表-7月'!E:AF,28,0)+VLOOKUP(E:E,'（居民）工资表-7月'!E:AG,29,0),0)</f>
        <v>417.02</v>
      </c>
      <c r="AG4" s="95">
        <f>IF((AE4-AF4)&lt;0,0,AE4-AF4)</f>
        <v>64.2</v>
      </c>
      <c r="AH4" s="102">
        <f>ROUND(IF((L4-Q4-AG4)&lt;0,0,(L4-Q4-AG4)),2)</f>
        <v>8075.9</v>
      </c>
      <c r="AI4" s="103"/>
      <c r="AJ4" s="102">
        <f>AH4+AI4</f>
        <v>8075.9</v>
      </c>
      <c r="AK4" s="104"/>
      <c r="AL4" s="102">
        <f>AJ4+AG4+AK4</f>
        <v>8140.1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IF(SUMPRODUCT(N(E$1:E$7=E4))&gt;1,"重复","不")</f>
        <v>不</v>
      </c>
      <c r="AT4" s="111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37" t="s">
        <v>158</v>
      </c>
      <c r="D5" s="37" t="s">
        <v>52</v>
      </c>
      <c r="E5" s="37" t="s">
        <v>159</v>
      </c>
      <c r="F5" s="38" t="s">
        <v>177</v>
      </c>
      <c r="G5" s="39">
        <v>13944441728</v>
      </c>
      <c r="H5" s="40"/>
      <c r="I5" s="40"/>
      <c r="J5" s="69"/>
      <c r="K5" s="40"/>
      <c r="L5" s="70">
        <v>6921</v>
      </c>
      <c r="M5" s="71">
        <v>244.24</v>
      </c>
      <c r="N5" s="71">
        <v>61.06</v>
      </c>
      <c r="O5" s="71">
        <v>9.16</v>
      </c>
      <c r="P5" s="71">
        <v>79</v>
      </c>
      <c r="Q5" s="89">
        <f>ROUND(SUM(M5:P5),2)</f>
        <v>393.46</v>
      </c>
      <c r="R5" s="70">
        <v>0</v>
      </c>
      <c r="S5" s="90">
        <f>L5+IFERROR(VLOOKUP($E:$E,'（居民）工资表-7月'!$E:$S,15,0),0)</f>
        <v>35061</v>
      </c>
      <c r="T5" s="91">
        <f>5000+IFERROR(VLOOKUP($E:$E,'（居民）工资表-7月'!$E:$T,16,0),0)</f>
        <v>25000</v>
      </c>
      <c r="U5" s="91">
        <f>Q5+IFERROR(VLOOKUP($E:$E,'（居民）工资表-7月'!$E:$U,17,0),0)</f>
        <v>2360.76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3">
        <f>ROUND(S5-T5-U5-AB5-AC5,2)</f>
        <v>7700.24</v>
      </c>
      <c r="AE5" s="94">
        <f>ROUND(MAX((AD5)*{0.03;0.1;0.2;0.25;0.3;0.35;0.45}-{0;2520;16920;31920;52920;85920;181920},0),2)</f>
        <v>231.01</v>
      </c>
      <c r="AF5" s="95">
        <f>IFERROR(VLOOKUP(E:E,'（居民）工资表-7月'!E:AF,28,0)+VLOOKUP(E:E,'（居民）工资表-7月'!E:AG,29,0),0)</f>
        <v>185.18</v>
      </c>
      <c r="AG5" s="95">
        <f>IF((AE5-AF5)&lt;0,0,AE5-AF5)</f>
        <v>45.83</v>
      </c>
      <c r="AH5" s="102">
        <f>ROUND(IF((L5-Q5-AG5)&lt;0,0,(L5-Q5-AG5)),2)</f>
        <v>6481.71</v>
      </c>
      <c r="AI5" s="103"/>
      <c r="AJ5" s="102">
        <f>AH5+AI5</f>
        <v>6481.71</v>
      </c>
      <c r="AK5" s="104"/>
      <c r="AL5" s="102">
        <f>AJ5+AG5+AK5</f>
        <v>6527.54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IF(SUMPRODUCT(N(E$1:E$7=E5))&gt;1,"重复","不")</f>
        <v>不</v>
      </c>
      <c r="AT5" s="111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50</v>
      </c>
      <c r="C6" s="37" t="s">
        <v>164</v>
      </c>
      <c r="D6" s="37" t="s">
        <v>52</v>
      </c>
      <c r="E6" s="367" t="s">
        <v>165</v>
      </c>
      <c r="F6" s="38" t="s">
        <v>177</v>
      </c>
      <c r="G6" s="39">
        <v>18607383005</v>
      </c>
      <c r="H6" s="40"/>
      <c r="I6" s="40"/>
      <c r="J6" s="69"/>
      <c r="K6" s="40"/>
      <c r="L6" s="70">
        <v>24800</v>
      </c>
      <c r="M6" s="71">
        <f>320</f>
        <v>320</v>
      </c>
      <c r="N6" s="71">
        <f>80</f>
        <v>80</v>
      </c>
      <c r="O6" s="71">
        <f>12</f>
        <v>12</v>
      </c>
      <c r="P6" s="71">
        <v>200</v>
      </c>
      <c r="Q6" s="89">
        <f>ROUND(SUM(M6:P6),2)</f>
        <v>612</v>
      </c>
      <c r="R6" s="70">
        <v>0</v>
      </c>
      <c r="S6" s="90">
        <f>L6+IFERROR(VLOOKUP($E:$E,'（居民）工资表-7月'!$E:$S,15,0),0)</f>
        <v>86504.76</v>
      </c>
      <c r="T6" s="91">
        <f>5000+IFERROR(VLOOKUP($E:$E,'（居民）工资表-7月'!$E:$T,16,0),0)</f>
        <v>20000</v>
      </c>
      <c r="U6" s="91">
        <f>Q6+IFERROR(VLOOKUP($E:$E,'（居民）工资表-7月'!$E:$U,17,0),0)</f>
        <v>2534.67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R6+IFERROR(VLOOKUP($E:$E,'（居民）工资表-7月'!$E:$AC,25,0),0)</f>
        <v>0</v>
      </c>
      <c r="AD6" s="93">
        <f>ROUND(S6-T6-U6-AB6-AC6,2)</f>
        <v>63970.09</v>
      </c>
      <c r="AE6" s="94">
        <f>ROUND(MAX((AD6)*{0.03;0.1;0.2;0.25;0.3;0.35;0.45}-{0;2520;16920;31920;52920;85920;181920},0),2)</f>
        <v>3877.01</v>
      </c>
      <c r="AF6" s="95">
        <f>IFERROR(VLOOKUP(E:E,'（居民）工资表-7月'!E:AF,28,0)+VLOOKUP(E:E,'（居民）工资表-7月'!E:AG,29,0),0)</f>
        <v>1958.21</v>
      </c>
      <c r="AG6" s="95">
        <f>IF((AE6-AF6)&lt;0,0,AE6-AF6)</f>
        <v>1918.8</v>
      </c>
      <c r="AH6" s="102">
        <f>ROUND(IF((L6-Q6-AG6)&lt;0,0,(L6-Q6-AG6)),2)</f>
        <v>22269.2</v>
      </c>
      <c r="AI6" s="103"/>
      <c r="AJ6" s="102">
        <f>AH6+AI6</f>
        <v>22269.2</v>
      </c>
      <c r="AK6" s="104"/>
      <c r="AL6" s="102">
        <f>AJ6+AG6+AK6</f>
        <v>24188</v>
      </c>
      <c r="AM6" s="104"/>
      <c r="AN6" s="104"/>
      <c r="AO6" s="104"/>
      <c r="AP6" s="104"/>
      <c r="AQ6" s="104"/>
      <c r="AR6" s="111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1" t="str">
        <f>IF(SUMPRODUCT(N(E$1:E$7=E6))&gt;1,"重复","不")</f>
        <v>不</v>
      </c>
      <c r="AT6" s="111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50</v>
      </c>
      <c r="C7" s="37" t="s">
        <v>174</v>
      </c>
      <c r="D7" s="37" t="s">
        <v>52</v>
      </c>
      <c r="E7" s="367" t="s">
        <v>179</v>
      </c>
      <c r="F7" s="38" t="str">
        <f>IF(MOD(MID(E7,17,1),2)=1,"男","女")</f>
        <v>女</v>
      </c>
      <c r="G7" s="39">
        <v>15360550807</v>
      </c>
      <c r="H7" s="40"/>
      <c r="I7" s="40"/>
      <c r="J7" s="69"/>
      <c r="K7" s="40"/>
      <c r="L7" s="70">
        <v>4560</v>
      </c>
      <c r="M7" s="71"/>
      <c r="N7" s="71"/>
      <c r="O7" s="71"/>
      <c r="P7" s="71"/>
      <c r="Q7" s="89">
        <f>ROUND(SUM(M7:P7),2)</f>
        <v>0</v>
      </c>
      <c r="R7" s="70">
        <v>0</v>
      </c>
      <c r="S7" s="90">
        <f>L7+IFERROR(VLOOKUP($E:$E,'（居民）工资表-7月'!$E:$S,15,0),0)</f>
        <v>8083.63636363636</v>
      </c>
      <c r="T7" s="91">
        <f>5000+IFERROR(VLOOKUP($E:$E,'（居民）工资表-7月'!$E:$T,16,0),0)</f>
        <v>10000</v>
      </c>
      <c r="U7" s="91">
        <f>Q7+IFERROR(VLOOKUP($E:$E,'（居民）工资表-7月'!$E:$U,17,0),0)</f>
        <v>0</v>
      </c>
      <c r="V7" s="70"/>
      <c r="W7" s="70"/>
      <c r="X7" s="70"/>
      <c r="Y7" s="70"/>
      <c r="Z7" s="70"/>
      <c r="AA7" s="70"/>
      <c r="AB7" s="90">
        <f>ROUND(SUM(V7:AA7),2)</f>
        <v>0</v>
      </c>
      <c r="AC7" s="90">
        <f>R7+IFERROR(VLOOKUP($E:$E,'（居民）工资表-7月'!$E:$AC,25,0),0)</f>
        <v>0</v>
      </c>
      <c r="AD7" s="93">
        <f>ROUND(S7-T7-U7-AB7-AC7,2)</f>
        <v>-1916.36</v>
      </c>
      <c r="AE7" s="94">
        <f>ROUND(MAX((AD7)*{0.03;0.1;0.2;0.25;0.3;0.35;0.45}-{0;2520;16920;31920;52920;85920;181920},0),2)</f>
        <v>0</v>
      </c>
      <c r="AF7" s="95">
        <f>IFERROR(VLOOKUP(E:E,'（居民）工资表-7月'!E:AF,28,0)+VLOOKUP(E:E,'（居民）工资表-7月'!E:AG,29,0),0)</f>
        <v>0</v>
      </c>
      <c r="AG7" s="95">
        <f>IF((AE7-AF7)&lt;0,0,AE7-AF7)</f>
        <v>0</v>
      </c>
      <c r="AH7" s="102">
        <f>ROUND(IF((L7-Q7-AG7)&lt;0,0,(L7-Q7-AG7)),2)</f>
        <v>4560</v>
      </c>
      <c r="AI7" s="103"/>
      <c r="AJ7" s="102">
        <f>AH7+AI7</f>
        <v>4560</v>
      </c>
      <c r="AK7" s="104"/>
      <c r="AL7" s="102">
        <f>AJ7+AG7+AK7</f>
        <v>4560</v>
      </c>
      <c r="AM7" s="104"/>
      <c r="AN7" s="104"/>
      <c r="AO7" s="104"/>
      <c r="AP7" s="104"/>
      <c r="AQ7" s="104"/>
      <c r="AR7" s="111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1" t="str">
        <f>IF(SUMPRODUCT(N(E$1:E$7=E7))&gt;1,"重复","不")</f>
        <v>不</v>
      </c>
      <c r="AT7" s="111" t="str">
        <f>IF(SUMPRODUCT(N(AO$1:AO$7=AO7))&gt;1,"重复","不")</f>
        <v>重复</v>
      </c>
    </row>
    <row r="8" s="13" customFormat="1" ht="18" customHeight="1" spans="1:46">
      <c r="A8" s="41"/>
      <c r="B8" s="42" t="s">
        <v>59</v>
      </c>
      <c r="C8" s="42"/>
      <c r="D8" s="43"/>
      <c r="E8" s="44"/>
      <c r="F8" s="45"/>
      <c r="G8" s="46"/>
      <c r="H8" s="45"/>
      <c r="I8" s="72"/>
      <c r="J8" s="73"/>
      <c r="K8" s="72"/>
      <c r="L8" s="74">
        <f t="shared" ref="L8:AL8" si="0">SUM(L4:L7)</f>
        <v>44941</v>
      </c>
      <c r="M8" s="74">
        <f t="shared" si="0"/>
        <v>828.24</v>
      </c>
      <c r="N8" s="74">
        <f t="shared" si="0"/>
        <v>207.06</v>
      </c>
      <c r="O8" s="74">
        <f t="shared" si="0"/>
        <v>31.06</v>
      </c>
      <c r="P8" s="74">
        <f t="shared" si="0"/>
        <v>459</v>
      </c>
      <c r="Q8" s="74">
        <f t="shared" si="0"/>
        <v>1525.36</v>
      </c>
      <c r="R8" s="74">
        <f t="shared" si="0"/>
        <v>0</v>
      </c>
      <c r="S8" s="74">
        <f t="shared" si="0"/>
        <v>197849.396363636</v>
      </c>
      <c r="T8" s="74">
        <f t="shared" si="0"/>
        <v>95000</v>
      </c>
      <c r="U8" s="74">
        <f t="shared" si="0"/>
        <v>9054.63</v>
      </c>
      <c r="V8" s="74">
        <f t="shared" si="0"/>
        <v>0</v>
      </c>
      <c r="W8" s="74">
        <f t="shared" si="0"/>
        <v>0</v>
      </c>
      <c r="X8" s="74">
        <f t="shared" si="0"/>
        <v>8000</v>
      </c>
      <c r="Y8" s="74">
        <f t="shared" si="0"/>
        <v>0</v>
      </c>
      <c r="Z8" s="74">
        <f t="shared" si="0"/>
        <v>0</v>
      </c>
      <c r="AA8" s="74">
        <f t="shared" si="0"/>
        <v>0</v>
      </c>
      <c r="AB8" s="74">
        <f t="shared" si="0"/>
        <v>8000</v>
      </c>
      <c r="AC8" s="74">
        <f t="shared" si="0"/>
        <v>0</v>
      </c>
      <c r="AD8" s="74">
        <f t="shared" si="0"/>
        <v>85794.77</v>
      </c>
      <c r="AE8" s="74">
        <f t="shared" si="0"/>
        <v>4589.24</v>
      </c>
      <c r="AF8" s="74">
        <f t="shared" si="0"/>
        <v>2560.41</v>
      </c>
      <c r="AG8" s="74">
        <f t="shared" si="0"/>
        <v>2028.83</v>
      </c>
      <c r="AH8" s="74">
        <f t="shared" si="0"/>
        <v>41386.81</v>
      </c>
      <c r="AI8" s="105">
        <f t="shared" si="0"/>
        <v>0</v>
      </c>
      <c r="AJ8" s="74">
        <f t="shared" si="0"/>
        <v>41386.81</v>
      </c>
      <c r="AK8" s="74">
        <f t="shared" si="0"/>
        <v>0</v>
      </c>
      <c r="AL8" s="74">
        <f t="shared" si="0"/>
        <v>43415.64</v>
      </c>
      <c r="AM8" s="106"/>
      <c r="AN8" s="106"/>
      <c r="AO8" s="106"/>
      <c r="AP8" s="106"/>
      <c r="AQ8" s="106"/>
      <c r="AR8" s="45"/>
      <c r="AS8" s="45"/>
      <c r="AT8" s="112"/>
    </row>
    <row r="11" spans="30:30">
      <c r="AD11" s="96"/>
    </row>
    <row r="12" ht="18.75" customHeight="1" spans="2:30">
      <c r="B12" s="47" t="s">
        <v>29</v>
      </c>
      <c r="C12" s="47" t="s">
        <v>60</v>
      </c>
      <c r="D12" s="47" t="s">
        <v>30</v>
      </c>
      <c r="E12" s="47" t="s">
        <v>61</v>
      </c>
      <c r="AD12" s="10"/>
    </row>
    <row r="13" ht="18.75" customHeight="1" spans="2:5">
      <c r="B13" s="48">
        <f>AJ8</f>
        <v>41386.81</v>
      </c>
      <c r="C13" s="48">
        <f>AG8</f>
        <v>2028.83</v>
      </c>
      <c r="D13" s="48">
        <f>AK8</f>
        <v>0</v>
      </c>
      <c r="E13" s="48">
        <f>B13+C13+D13</f>
        <v>43415.64</v>
      </c>
    </row>
    <row r="14" spans="2:5">
      <c r="B14" s="49"/>
      <c r="C14" s="49"/>
      <c r="D14" s="49"/>
      <c r="E14" s="49"/>
    </row>
    <row r="15" s="14" customFormat="1" spans="1:35">
      <c r="A15" s="50" t="s">
        <v>62</v>
      </c>
      <c r="B15" s="51" t="s">
        <v>63</v>
      </c>
      <c r="C15" s="52"/>
      <c r="D15" s="52"/>
      <c r="E15" s="52"/>
      <c r="G15" s="53"/>
      <c r="J15" s="75"/>
      <c r="M15" s="76"/>
      <c r="AI15" s="107"/>
    </row>
    <row r="16" s="14" customFormat="1" spans="1:35">
      <c r="A16" s="54"/>
      <c r="B16" s="55" t="s">
        <v>64</v>
      </c>
      <c r="C16" s="52"/>
      <c r="D16" s="52"/>
      <c r="E16" s="52"/>
      <c r="G16" s="53"/>
      <c r="J16" s="75"/>
      <c r="M16" s="76"/>
      <c r="AI16" s="107"/>
    </row>
    <row r="17" s="14" customFormat="1" spans="1:35">
      <c r="A17" s="51"/>
      <c r="B17" s="55" t="s">
        <v>65</v>
      </c>
      <c r="C17" s="56"/>
      <c r="D17" s="56"/>
      <c r="E17" s="56"/>
      <c r="F17" s="56"/>
      <c r="G17" s="56"/>
      <c r="H17" s="56"/>
      <c r="I17" s="56"/>
      <c r="J17" s="77"/>
      <c r="K17" s="56"/>
      <c r="L17" s="56"/>
      <c r="M17" s="78"/>
      <c r="N17" s="56"/>
      <c r="O17" s="56"/>
      <c r="P17" s="56"/>
      <c r="AI17" s="107"/>
    </row>
    <row r="18" s="14" customFormat="1" customHeight="1" spans="1:35">
      <c r="A18" s="55"/>
      <c r="B18" s="55" t="s">
        <v>66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19" s="14" customFormat="1" customHeight="1" spans="1:35">
      <c r="A19" s="55"/>
      <c r="B19" s="55" t="s">
        <v>67</v>
      </c>
      <c r="C19" s="57"/>
      <c r="D19" s="57"/>
      <c r="E19" s="57"/>
      <c r="F19" s="57"/>
      <c r="G19" s="57"/>
      <c r="H19" s="57"/>
      <c r="I19" s="57"/>
      <c r="J19" s="82"/>
      <c r="K19" s="57"/>
      <c r="L19" s="79"/>
      <c r="M19" s="81"/>
      <c r="N19" s="79"/>
      <c r="O19" s="79"/>
      <c r="P19" s="79"/>
      <c r="AI19" s="107"/>
    </row>
    <row r="20" s="14" customFormat="1" customHeight="1" spans="1:35">
      <c r="A20" s="55"/>
      <c r="B20" s="55" t="s">
        <v>68</v>
      </c>
      <c r="C20" s="57"/>
      <c r="D20" s="57"/>
      <c r="E20" s="57"/>
      <c r="F20" s="57"/>
      <c r="G20" s="57"/>
      <c r="H20" s="57"/>
      <c r="I20" s="79"/>
      <c r="J20" s="80"/>
      <c r="K20" s="79"/>
      <c r="L20" s="79"/>
      <c r="M20" s="81"/>
      <c r="N20" s="79"/>
      <c r="O20" s="79"/>
      <c r="P20" s="79"/>
      <c r="AI20" s="107"/>
    </row>
    <row r="22" ht="11.25" customHeight="1" spans="2:2">
      <c r="B22" s="58" t="s">
        <v>69</v>
      </c>
    </row>
    <row r="23" spans="2:2">
      <c r="B23" s="59" t="s">
        <v>70</v>
      </c>
    </row>
    <row r="24" spans="2:2">
      <c r="B24" s="59" t="s">
        <v>71</v>
      </c>
    </row>
  </sheetData>
  <autoFilter ref="A3:AT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0">
    <cfRule type="duplicateValues" dxfId="0" priority="2" stopIfTrue="1"/>
  </conditionalFormatting>
  <conditionalFormatting sqref="B15:B19">
    <cfRule type="duplicateValues" dxfId="0" priority="3" stopIfTrue="1"/>
  </conditionalFormatting>
  <conditionalFormatting sqref="B23:B24">
    <cfRule type="duplicateValues" dxfId="0" priority="1" stopIfTrue="1"/>
  </conditionalFormatting>
  <conditionalFormatting sqref="C12:C14">
    <cfRule type="duplicateValues" dxfId="0" priority="4" stopIfTrue="1"/>
    <cfRule type="expression" dxfId="1" priority="5" stopIfTrue="1">
      <formula>AND(COUNTIF($B$8:$B$65444,C12)+COUNTIF($B$1:$B$3,C12)&gt;1,NOT(ISBLANK(C12)))</formula>
    </cfRule>
    <cfRule type="expression" dxfId="1" priority="6" stopIfTrue="1">
      <formula>AND(COUNTIF($B$19:$B$65395,C12)+COUNTIF($B$1:$B$18,C12)&gt;1,NOT(ISBLANK(C12)))</formula>
    </cfRule>
    <cfRule type="expression" dxfId="1" priority="7" stopIfTrue="1">
      <formula>AND(COUNTIF($B$8:$B$65433,C12)+COUNTIF($B$1:$B$3,C12)&gt;1,NOT(ISBLANK(C12)))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227</v>
      </c>
      <c r="C4" s="37"/>
      <c r="D4" s="37" t="s">
        <v>52</v>
      </c>
      <c r="E4" s="37" t="s">
        <v>228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L4+IFERROR(VLOOKUP($E:$E,'（居民）工资表-8月'!$E:$S,15,0),0)</f>
        <v>3000</v>
      </c>
      <c r="T4" s="91">
        <f>5000+IFERROR(VLOOKUP($E:$E,'（居民）工资表-8月'!$E:$T,16,0),0)</f>
        <v>5000</v>
      </c>
      <c r="U4" s="91">
        <f>Q4+IFERROR(VLOOKUP($E:$E,'（居民）工资表-8月'!$E:$U,17,0),0)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227</v>
      </c>
      <c r="C5" s="37"/>
      <c r="D5" s="37" t="s">
        <v>52</v>
      </c>
      <c r="E5" s="37" t="s">
        <v>229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L5+IFERROR(VLOOKUP($E:$E,'（居民）工资表-8月'!$E:$S,15,0),0)</f>
        <v>4000</v>
      </c>
      <c r="T5" s="91">
        <f>5000+IFERROR(VLOOKUP($E:$E,'（居民）工资表-8月'!$E:$T,16,0),0)</f>
        <v>5000</v>
      </c>
      <c r="U5" s="91">
        <f>Q5+IFERROR(VLOOKUP($E:$E,'（居民）工资表-8月'!$E:$U,17,0),0)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R5+IFERROR(VLOOKUP($E:$E,'（居民）工资表-8月'!$E:$AC,25,0),0)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IFERROR(VLOOKUP(E:E,'（居民）工资表-8月'!E:AF,28,0)+VLOOKUP(E:E,'（居民）工资表-8月'!E:AG,29,0),0)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227</v>
      </c>
      <c r="C6" s="37"/>
      <c r="D6" s="37" t="s">
        <v>52</v>
      </c>
      <c r="E6" s="37" t="s">
        <v>230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L6+IFERROR(VLOOKUP($E:$E,'（居民）工资表-8月'!$E:$S,15,0),0)</f>
        <v>5000</v>
      </c>
      <c r="T6" s="91">
        <f>5000+IFERROR(VLOOKUP($E:$E,'（居民）工资表-8月'!$E:$T,16,0),0)</f>
        <v>5000</v>
      </c>
      <c r="U6" s="91">
        <f>Q6+IFERROR(VLOOKUP($E:$E,'（居民）工资表-8月'!$E:$U,17,0),0)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R6+IFERROR(VLOOKUP($E:$E,'（居民）工资表-8月'!$E:$AC,25,0),0)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IFERROR(VLOOKUP(E:E,'（居民）工资表-8月'!E:AF,28,0)+VLOOKUP(E:E,'（居民）工资表-8月'!E:AG,29,0),0)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227</v>
      </c>
      <c r="C7" s="37"/>
      <c r="D7" s="37" t="s">
        <v>52</v>
      </c>
      <c r="E7" s="37" t="s">
        <v>231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L7+IFERROR(VLOOKUP($E:$E,'（居民）工资表-8月'!$E:$S,15,0),0)</f>
        <v>6000</v>
      </c>
      <c r="T7" s="91">
        <f>5000+IFERROR(VLOOKUP($E:$E,'（居民）工资表-8月'!$E:$T,16,0),0)</f>
        <v>5000</v>
      </c>
      <c r="U7" s="91">
        <f>Q7+IFERROR(VLOOKUP($E:$E,'（居民）工资表-8月'!$E:$U,17,0),0)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R7+IFERROR(VLOOKUP($E:$E,'（居民）工资表-8月'!$E:$AC,25,0),0)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227</v>
      </c>
      <c r="C8" s="37"/>
      <c r="D8" s="37" t="s">
        <v>52</v>
      </c>
      <c r="E8" s="37" t="s">
        <v>175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L8+IFERROR(VLOOKUP($E:$E,'（居民）工资表-8月'!$E:$S,15,0),0)</f>
        <v>7000</v>
      </c>
      <c r="T8" s="91">
        <f>5000+IFERROR(VLOOKUP($E:$E,'（居民）工资表-8月'!$E:$T,16,0),0)</f>
        <v>5000</v>
      </c>
      <c r="U8" s="91">
        <f>Q8+IFERROR(VLOOKUP($E:$E,'（居民）工资表-8月'!$E:$U,17,0),0)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R8+IFERROR(VLOOKUP($E:$E,'（居民）工资表-8月'!$E:$AC,25,0),0)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IFERROR(VLOOKUP(E:E,'（居民）工资表-8月'!E:AF,28,0)+VLOOKUP(E:E,'（居民）工资表-8月'!E:AG,29,0),0)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227</v>
      </c>
      <c r="C9" s="37"/>
      <c r="D9" s="37" t="s">
        <v>52</v>
      </c>
      <c r="E9" s="37" t="s">
        <v>232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L9+IFERROR(VLOOKUP($E:$E,'（居民）工资表-8月'!$E:$S,15,0),0)</f>
        <v>8000</v>
      </c>
      <c r="T9" s="91">
        <f>5000+IFERROR(VLOOKUP($E:$E,'（居民）工资表-8月'!$E:$T,16,0),0)</f>
        <v>5000</v>
      </c>
      <c r="U9" s="91">
        <f>Q9+IFERROR(VLOOKUP($E:$E,'（居民）工资表-8月'!$E:$U,17,0),0)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R9+IFERROR(VLOOKUP($E:$E,'（居民）工资表-8月'!$E:$AC,25,0),0)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IFERROR(VLOOKUP(E:E,'（居民）工资表-8月'!E:AF,28,0)+VLOOKUP(E:E,'（居民）工资表-8月'!E:AG,29,0),0)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227</v>
      </c>
      <c r="C10" s="37"/>
      <c r="D10" s="37" t="s">
        <v>52</v>
      </c>
      <c r="E10" s="37" t="s">
        <v>233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L10+IFERROR(VLOOKUP($E:$E,'（居民）工资表-8月'!$E:$S,15,0),0)</f>
        <v>9000</v>
      </c>
      <c r="T10" s="91">
        <f>5000+IFERROR(VLOOKUP($E:$E,'（居民）工资表-8月'!$E:$T,16,0),0)</f>
        <v>5000</v>
      </c>
      <c r="U10" s="91">
        <f>Q10+IFERROR(VLOOKUP($E:$E,'（居民）工资表-8月'!$E:$U,17,0),0)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R10+IFERROR(VLOOKUP($E:$E,'（居民）工资表-8月'!$E:$AC,25,0),0)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IFERROR(VLOOKUP(E:E,'（居民）工资表-8月'!E:AF,28,0)+VLOOKUP(E:E,'（居民）工资表-8月'!E:AG,29,0),0)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227</v>
      </c>
      <c r="C11" s="37"/>
      <c r="D11" s="37" t="s">
        <v>52</v>
      </c>
      <c r="E11" s="37" t="s">
        <v>234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L11+IFERROR(VLOOKUP($E:$E,'（居民）工资表-8月'!$E:$S,15,0),0)</f>
        <v>10000</v>
      </c>
      <c r="T11" s="91">
        <f>5000+IFERROR(VLOOKUP($E:$E,'（居民）工资表-8月'!$E:$T,16,0),0)</f>
        <v>5000</v>
      </c>
      <c r="U11" s="91">
        <f>Q11+IFERROR(VLOOKUP($E:$E,'（居民）工资表-8月'!$E:$U,17,0),0)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R11+IFERROR(VLOOKUP($E:$E,'（居民）工资表-8月'!$E:$AC,25,0),0)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IFERROR(VLOOKUP(E:E,'（居民）工资表-8月'!E:AF,28,0)+VLOOKUP(E:E,'（居民）工资表-8月'!E:AG,29,0),0)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227</v>
      </c>
      <c r="C12" s="37"/>
      <c r="D12" s="37" t="s">
        <v>52</v>
      </c>
      <c r="E12" s="37" t="s">
        <v>235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L12+IFERROR(VLOOKUP($E:$E,'（居民）工资表-8月'!$E:$S,15,0),0)</f>
        <v>11000</v>
      </c>
      <c r="T12" s="91">
        <f>5000+IFERROR(VLOOKUP($E:$E,'（居民）工资表-8月'!$E:$T,16,0),0)</f>
        <v>5000</v>
      </c>
      <c r="U12" s="91">
        <f>Q12+IFERROR(VLOOKUP($E:$E,'（居民）工资表-8月'!$E:$U,17,0),0)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R12+IFERROR(VLOOKUP($E:$E,'（居民）工资表-8月'!$E:$AC,25,0),0)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IFERROR(VLOOKUP(E:E,'（居民）工资表-8月'!E:AF,28,0)+VLOOKUP(E:E,'（居民）工资表-8月'!E:AG,29,0),0)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227</v>
      </c>
      <c r="C13" s="37"/>
      <c r="D13" s="37" t="s">
        <v>52</v>
      </c>
      <c r="E13" s="37" t="s">
        <v>236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L13+IFERROR(VLOOKUP($E:$E,'（居民）工资表-8月'!$E:$S,15,0),0)</f>
        <v>12000</v>
      </c>
      <c r="T13" s="91">
        <f>5000+IFERROR(VLOOKUP($E:$E,'（居民）工资表-8月'!$E:$T,16,0),0)</f>
        <v>5000</v>
      </c>
      <c r="U13" s="91">
        <f>Q13+IFERROR(VLOOKUP($E:$E,'（居民）工资表-8月'!$E:$U,17,0),0)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R13+IFERROR(VLOOKUP($E:$E,'（居民）工资表-8月'!$E:$AC,25,0),0)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IFERROR(VLOOKUP(E:E,'（居民）工资表-8月'!E:AF,28,0)+VLOOKUP(E:E,'（居民）工资表-8月'!E:AG,29,0),0)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227</v>
      </c>
      <c r="C14" s="37"/>
      <c r="D14" s="37" t="s">
        <v>52</v>
      </c>
      <c r="E14" s="37" t="s">
        <v>237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L14+IFERROR(VLOOKUP($E:$E,'（居民）工资表-8月'!$E:$S,15,0),0)</f>
        <v>13000</v>
      </c>
      <c r="T14" s="91">
        <f>5000+IFERROR(VLOOKUP($E:$E,'（居民）工资表-8月'!$E:$T,16,0),0)</f>
        <v>5000</v>
      </c>
      <c r="U14" s="91">
        <f>Q14+IFERROR(VLOOKUP($E:$E,'（居民）工资表-8月'!$E:$U,17,0),0)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R14+IFERROR(VLOOKUP($E:$E,'（居民）工资表-8月'!$E:$AC,25,0),0)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IFERROR(VLOOKUP(E:E,'（居民）工资表-8月'!E:AF,28,0)+VLOOKUP(E:E,'（居民）工资表-8月'!E:AG,29,0),0)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227</v>
      </c>
      <c r="C15" s="37"/>
      <c r="D15" s="37" t="s">
        <v>52</v>
      </c>
      <c r="E15" s="37" t="s">
        <v>238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L15+IFERROR(VLOOKUP($E:$E,'（居民）工资表-8月'!$E:$S,15,0),0)</f>
        <v>14000</v>
      </c>
      <c r="T15" s="91">
        <f>5000+IFERROR(VLOOKUP($E:$E,'（居民）工资表-8月'!$E:$T,16,0),0)</f>
        <v>5000</v>
      </c>
      <c r="U15" s="91">
        <f>Q15+IFERROR(VLOOKUP($E:$E,'（居民）工资表-8月'!$E:$U,17,0),0)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R15+IFERROR(VLOOKUP($E:$E,'（居民）工资表-8月'!$E:$AC,25,0),0)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IFERROR(VLOOKUP(E:E,'（居民）工资表-8月'!E:AF,28,0)+VLOOKUP(E:E,'（居民）工资表-8月'!E:AG,29,0),0)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227</v>
      </c>
      <c r="C16" s="37"/>
      <c r="D16" s="37" t="s">
        <v>52</v>
      </c>
      <c r="E16" s="37" t="s">
        <v>239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L16+IFERROR(VLOOKUP($E:$E,'（居民）工资表-8月'!$E:$S,15,0),0)</f>
        <v>15000</v>
      </c>
      <c r="T16" s="91">
        <f>5000+IFERROR(VLOOKUP($E:$E,'（居民）工资表-8月'!$E:$T,16,0),0)</f>
        <v>5000</v>
      </c>
      <c r="U16" s="91">
        <f>Q16+IFERROR(VLOOKUP($E:$E,'（居民）工资表-8月'!$E:$U,17,0),0)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R16+IFERROR(VLOOKUP($E:$E,'（居民）工资表-8月'!$E:$AC,25,0),0)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IFERROR(VLOOKUP(E:E,'（居民）工资表-8月'!E:AF,28,0)+VLOOKUP(E:E,'（居民）工资表-8月'!E:AG,29,0),0)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227</v>
      </c>
      <c r="C17" s="37"/>
      <c r="D17" s="37" t="s">
        <v>52</v>
      </c>
      <c r="E17" s="37" t="s">
        <v>240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L17+IFERROR(VLOOKUP($E:$E,'（居民）工资表-8月'!$E:$S,15,0),0)</f>
        <v>16000</v>
      </c>
      <c r="T17" s="91">
        <f>5000+IFERROR(VLOOKUP($E:$E,'（居民）工资表-8月'!$E:$T,16,0),0)</f>
        <v>5000</v>
      </c>
      <c r="U17" s="91">
        <f>Q17+IFERROR(VLOOKUP($E:$E,'（居民）工资表-8月'!$E:$U,17,0),0)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R17+IFERROR(VLOOKUP($E:$E,'（居民）工资表-8月'!$E:$AC,25,0),0)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IFERROR(VLOOKUP(E:E,'（居民）工资表-8月'!E:AF,28,0)+VLOOKUP(E:E,'（居民）工资表-8月'!E:AG,29,0),0)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227</v>
      </c>
      <c r="C18" s="37"/>
      <c r="D18" s="37" t="s">
        <v>52</v>
      </c>
      <c r="E18" s="37" t="s">
        <v>241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L18+IFERROR(VLOOKUP($E:$E,'（居民）工资表-8月'!$E:$S,15,0),0)</f>
        <v>17000</v>
      </c>
      <c r="T18" s="91">
        <f>5000+IFERROR(VLOOKUP($E:$E,'（居民）工资表-8月'!$E:$T,16,0),0)</f>
        <v>5000</v>
      </c>
      <c r="U18" s="91">
        <f>Q18+IFERROR(VLOOKUP($E:$E,'（居民）工资表-8月'!$E:$U,17,0),0)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R18+IFERROR(VLOOKUP($E:$E,'（居民）工资表-8月'!$E:$AC,25,0),0)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IFERROR(VLOOKUP(E:E,'（居民）工资表-8月'!E:AF,28,0)+VLOOKUP(E:E,'（居民）工资表-8月'!E:AG,29,0),0)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227</v>
      </c>
      <c r="C19" s="37"/>
      <c r="D19" s="37" t="s">
        <v>52</v>
      </c>
      <c r="E19" s="37" t="s">
        <v>242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L19+IFERROR(VLOOKUP($E:$E,'（居民）工资表-8月'!$E:$S,15,0),0)</f>
        <v>18000</v>
      </c>
      <c r="T19" s="91">
        <f>5000+IFERROR(VLOOKUP($E:$E,'（居民）工资表-8月'!$E:$T,16,0),0)</f>
        <v>5000</v>
      </c>
      <c r="U19" s="91">
        <f>Q19+IFERROR(VLOOKUP($E:$E,'（居民）工资表-8月'!$E:$U,17,0),0)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R19+IFERROR(VLOOKUP($E:$E,'（居民）工资表-8月'!$E:$AC,25,0),0)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IFERROR(VLOOKUP(E:E,'（居民）工资表-8月'!E:AF,28,0)+VLOOKUP(E:E,'（居民）工资表-8月'!E:AG,29,0),0)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227</v>
      </c>
      <c r="C20" s="37"/>
      <c r="D20" s="37" t="s">
        <v>52</v>
      </c>
      <c r="E20" s="37" t="s">
        <v>243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L20+IFERROR(VLOOKUP($E:$E,'（居民）工资表-8月'!$E:$S,15,0),0)</f>
        <v>19000</v>
      </c>
      <c r="T20" s="91">
        <f>5000+IFERROR(VLOOKUP($E:$E,'（居民）工资表-8月'!$E:$T,16,0),0)</f>
        <v>5000</v>
      </c>
      <c r="U20" s="91">
        <f>Q20+IFERROR(VLOOKUP($E:$E,'（居民）工资表-8月'!$E:$U,17,0),0)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R20+IFERROR(VLOOKUP($E:$E,'（居民）工资表-8月'!$E:$AC,25,0),0)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IFERROR(VLOOKUP(E:E,'（居民）工资表-8月'!E:AF,28,0)+VLOOKUP(E:E,'（居民）工资表-8月'!E:AG,29,0),0)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227</v>
      </c>
      <c r="C21" s="37"/>
      <c r="D21" s="37" t="s">
        <v>52</v>
      </c>
      <c r="E21" s="37" t="s">
        <v>244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L21+IFERROR(VLOOKUP($E:$E,'（居民）工资表-8月'!$E:$S,15,0),0)</f>
        <v>20000</v>
      </c>
      <c r="T21" s="91">
        <f>5000+IFERROR(VLOOKUP($E:$E,'（居民）工资表-8月'!$E:$T,16,0),0)</f>
        <v>5000</v>
      </c>
      <c r="U21" s="91">
        <f>Q21+IFERROR(VLOOKUP($E:$E,'（居民）工资表-8月'!$E:$U,17,0),0)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R21+IFERROR(VLOOKUP($E:$E,'（居民）工资表-8月'!$E:$AC,25,0),0)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IFERROR(VLOOKUP(E:E,'（居民）工资表-8月'!E:AF,28,0)+VLOOKUP(E:E,'（居民）工资表-8月'!E:AG,29,0),0)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227</v>
      </c>
      <c r="C22" s="37"/>
      <c r="D22" s="37" t="s">
        <v>52</v>
      </c>
      <c r="E22" s="37" t="s">
        <v>245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L22+IFERROR(VLOOKUP($E:$E,'（居民）工资表-8月'!$E:$S,15,0),0)</f>
        <v>21000</v>
      </c>
      <c r="T22" s="91">
        <f>5000+IFERROR(VLOOKUP($E:$E,'（居民）工资表-8月'!$E:$T,16,0),0)</f>
        <v>5000</v>
      </c>
      <c r="U22" s="91">
        <f>Q22+IFERROR(VLOOKUP($E:$E,'（居民）工资表-8月'!$E:$U,17,0),0)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R22+IFERROR(VLOOKUP($E:$E,'（居民）工资表-8月'!$E:$AC,25,0),0)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IFERROR(VLOOKUP(E:E,'（居民）工资表-8月'!E:AF,28,0)+VLOOKUP(E:E,'（居民）工资表-8月'!E:AG,29,0),0)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227</v>
      </c>
      <c r="C23" s="37"/>
      <c r="D23" s="37" t="s">
        <v>52</v>
      </c>
      <c r="E23" s="37" t="s">
        <v>246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L23+IFERROR(VLOOKUP($E:$E,'（居民）工资表-8月'!$E:$S,15,0),0)</f>
        <v>22000</v>
      </c>
      <c r="T23" s="91">
        <f>5000+IFERROR(VLOOKUP($E:$E,'（居民）工资表-8月'!$E:$T,16,0),0)</f>
        <v>5000</v>
      </c>
      <c r="U23" s="91">
        <f>Q23+IFERROR(VLOOKUP($E:$E,'（居民）工资表-8月'!$E:$U,17,0),0)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R23+IFERROR(VLOOKUP($E:$E,'（居民）工资表-8月'!$E:$AC,25,0),0)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IFERROR(VLOOKUP(E:E,'（居民）工资表-8月'!E:AF,28,0)+VLOOKUP(E:E,'（居民）工资表-8月'!E:AG,29,0),0)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227</v>
      </c>
      <c r="C4" s="37"/>
      <c r="D4" s="37" t="s">
        <v>52</v>
      </c>
      <c r="E4" s="37" t="s">
        <v>228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L4+IFERROR(VLOOKUP($E:$E,'（居民）工资表-9月'!$E:$S,15,0),0)</f>
        <v>6000</v>
      </c>
      <c r="T4" s="91">
        <f>5000+IFERROR(VLOOKUP($E:$E,'（居民）工资表-9月'!$E:$T,16,0),0)</f>
        <v>10000</v>
      </c>
      <c r="U4" s="91">
        <f>Q4+IFERROR(VLOOKUP($E:$E,'（居民）工资表-9月'!$E:$U,17,0),0)</f>
        <v>1050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-5050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227</v>
      </c>
      <c r="C5" s="37"/>
      <c r="D5" s="37" t="s">
        <v>52</v>
      </c>
      <c r="E5" s="37" t="s">
        <v>229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L5+IFERROR(VLOOKUP($E:$E,'（居民）工资表-9月'!$E:$S,15,0),0)</f>
        <v>8000</v>
      </c>
      <c r="T5" s="91">
        <f>5000+IFERROR(VLOOKUP($E:$E,'（居民）工资表-9月'!$E:$T,16,0),0)</f>
        <v>10000</v>
      </c>
      <c r="U5" s="91">
        <f>Q5+IFERROR(VLOOKUP($E:$E,'（居民）工资表-9月'!$E:$U,17,0),0)</f>
        <v>1400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R5+IFERROR(VLOOKUP($E:$E,'（居民）工资表-9月'!$E:$AC,25,0),0)</f>
        <v>0</v>
      </c>
      <c r="AD5" s="93">
        <f t="shared" ref="AD5:AD23" si="6">ROUND(S5-T5-U5-AB5-AC5,2)</f>
        <v>-3400</v>
      </c>
      <c r="AE5" s="94">
        <f>ROUND(MAX((AD5)*{0.03;0.1;0.2;0.25;0.3;0.35;0.45}-{0;2520;16920;31920;52920;85920;181920},0),2)</f>
        <v>0</v>
      </c>
      <c r="AF5" s="95">
        <f>IFERROR(VLOOKUP(E:E,'（居民）工资表-9月'!E:AF,28,0)+VLOOKUP(E:E,'（居民）工资表-9月'!E:AG,29,0),0)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227</v>
      </c>
      <c r="C6" s="37"/>
      <c r="D6" s="37" t="s">
        <v>52</v>
      </c>
      <c r="E6" s="37" t="s">
        <v>230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L6+IFERROR(VLOOKUP($E:$E,'（居民）工资表-9月'!$E:$S,15,0),0)</f>
        <v>10000</v>
      </c>
      <c r="T6" s="91">
        <f>5000+IFERROR(VLOOKUP($E:$E,'（居民）工资表-9月'!$E:$T,16,0),0)</f>
        <v>10000</v>
      </c>
      <c r="U6" s="91">
        <f>Q6+IFERROR(VLOOKUP($E:$E,'（居民）工资表-9月'!$E:$U,17,0),0)</f>
        <v>1750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R6+IFERROR(VLOOKUP($E:$E,'（居民）工资表-9月'!$E:$AC,25,0),0)</f>
        <v>0</v>
      </c>
      <c r="AD6" s="93">
        <f t="shared" si="6"/>
        <v>-1750</v>
      </c>
      <c r="AE6" s="94">
        <f>ROUND(MAX((AD6)*{0.03;0.1;0.2;0.25;0.3;0.35;0.45}-{0;2520;16920;31920;52920;85920;181920},0),2)</f>
        <v>0</v>
      </c>
      <c r="AF6" s="95">
        <f>IFERROR(VLOOKUP(E:E,'（居民）工资表-9月'!E:AF,28,0)+VLOOKUP(E:E,'（居民）工资表-9月'!E:AG,29,0),0)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227</v>
      </c>
      <c r="C7" s="37"/>
      <c r="D7" s="37" t="s">
        <v>52</v>
      </c>
      <c r="E7" s="37" t="s">
        <v>231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L7+IFERROR(VLOOKUP($E:$E,'（居民）工资表-9月'!$E:$S,15,0),0)</f>
        <v>12000</v>
      </c>
      <c r="T7" s="91">
        <f>5000+IFERROR(VLOOKUP($E:$E,'（居民）工资表-9月'!$E:$T,16,0),0)</f>
        <v>10000</v>
      </c>
      <c r="U7" s="91">
        <f>Q7+IFERROR(VLOOKUP($E:$E,'（居民）工资表-9月'!$E:$U,17,0),0)</f>
        <v>2100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R7+IFERROR(VLOOKUP($E:$E,'（居民）工资表-9月'!$E:$AC,25,0),0)</f>
        <v>0</v>
      </c>
      <c r="AD7" s="93">
        <f t="shared" si="6"/>
        <v>-100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227</v>
      </c>
      <c r="C8" s="37"/>
      <c r="D8" s="37" t="s">
        <v>52</v>
      </c>
      <c r="E8" s="37" t="s">
        <v>175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L8+IFERROR(VLOOKUP($E:$E,'（居民）工资表-9月'!$E:$S,15,0),0)</f>
        <v>14000</v>
      </c>
      <c r="T8" s="91">
        <f>5000+IFERROR(VLOOKUP($E:$E,'（居民）工资表-9月'!$E:$T,16,0),0)</f>
        <v>10000</v>
      </c>
      <c r="U8" s="91">
        <f>Q8+IFERROR(VLOOKUP($E:$E,'（居民）工资表-9月'!$E:$U,17,0),0)</f>
        <v>2450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R8+IFERROR(VLOOKUP($E:$E,'（居民）工资表-9月'!$E:$AC,25,0),0)</f>
        <v>0</v>
      </c>
      <c r="AD8" s="93">
        <f t="shared" si="6"/>
        <v>1550</v>
      </c>
      <c r="AE8" s="94">
        <f>ROUND(MAX((AD8)*{0.03;0.1;0.2;0.25;0.3;0.35;0.45}-{0;2520;16920;31920;52920;85920;181920},0),2)</f>
        <v>46.5</v>
      </c>
      <c r="AF8" s="95">
        <f>IFERROR(VLOOKUP(E:E,'（居民）工资表-9月'!E:AF,28,0)+VLOOKUP(E:E,'（居民）工资表-9月'!E:AG,29,0),0)</f>
        <v>23.25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227</v>
      </c>
      <c r="C9" s="37"/>
      <c r="D9" s="37" t="s">
        <v>52</v>
      </c>
      <c r="E9" s="37" t="s">
        <v>232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L9+IFERROR(VLOOKUP($E:$E,'（居民）工资表-9月'!$E:$S,15,0),0)</f>
        <v>16000</v>
      </c>
      <c r="T9" s="91">
        <f>5000+IFERROR(VLOOKUP($E:$E,'（居民）工资表-9月'!$E:$T,16,0),0)</f>
        <v>10000</v>
      </c>
      <c r="U9" s="91">
        <f>Q9+IFERROR(VLOOKUP($E:$E,'（居民）工资表-9月'!$E:$U,17,0),0)</f>
        <v>2800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R9+IFERROR(VLOOKUP($E:$E,'（居民）工资表-9月'!$E:$AC,25,0),0)</f>
        <v>0</v>
      </c>
      <c r="AD9" s="93">
        <f t="shared" si="6"/>
        <v>3200</v>
      </c>
      <c r="AE9" s="94">
        <f>ROUND(MAX((AD9)*{0.03;0.1;0.2;0.25;0.3;0.35;0.45}-{0;2520;16920;31920;52920;85920;181920},0),2)</f>
        <v>96</v>
      </c>
      <c r="AF9" s="95">
        <f>IFERROR(VLOOKUP(E:E,'（居民）工资表-9月'!E:AF,28,0)+VLOOKUP(E:E,'（居民）工资表-9月'!E:AG,29,0),0)</f>
        <v>48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227</v>
      </c>
      <c r="C10" s="37"/>
      <c r="D10" s="37" t="s">
        <v>52</v>
      </c>
      <c r="E10" s="37" t="s">
        <v>233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L10+IFERROR(VLOOKUP($E:$E,'（居民）工资表-9月'!$E:$S,15,0),0)</f>
        <v>18000</v>
      </c>
      <c r="T10" s="91">
        <f>5000+IFERROR(VLOOKUP($E:$E,'（居民）工资表-9月'!$E:$T,16,0),0)</f>
        <v>10000</v>
      </c>
      <c r="U10" s="91">
        <f>Q10+IFERROR(VLOOKUP($E:$E,'（居民）工资表-9月'!$E:$U,17,0),0)</f>
        <v>3150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R10+IFERROR(VLOOKUP($E:$E,'（居民）工资表-9月'!$E:$AC,25,0),0)</f>
        <v>0</v>
      </c>
      <c r="AD10" s="93">
        <f t="shared" si="6"/>
        <v>4850</v>
      </c>
      <c r="AE10" s="94">
        <f>ROUND(MAX((AD10)*{0.03;0.1;0.2;0.25;0.3;0.35;0.45}-{0;2520;16920;31920;52920;85920;181920},0),2)</f>
        <v>145.5</v>
      </c>
      <c r="AF10" s="95">
        <f>IFERROR(VLOOKUP(E:E,'（居民）工资表-9月'!E:AF,28,0)+VLOOKUP(E:E,'（居民）工资表-9月'!E:AG,29,0),0)</f>
        <v>72.75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227</v>
      </c>
      <c r="C11" s="37"/>
      <c r="D11" s="37" t="s">
        <v>52</v>
      </c>
      <c r="E11" s="37" t="s">
        <v>234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L11+IFERROR(VLOOKUP($E:$E,'（居民）工资表-9月'!$E:$S,15,0),0)</f>
        <v>20000</v>
      </c>
      <c r="T11" s="91">
        <f>5000+IFERROR(VLOOKUP($E:$E,'（居民）工资表-9月'!$E:$T,16,0),0)</f>
        <v>10000</v>
      </c>
      <c r="U11" s="91">
        <f>Q11+IFERROR(VLOOKUP($E:$E,'（居民）工资表-9月'!$E:$U,17,0),0)</f>
        <v>3500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R11+IFERROR(VLOOKUP($E:$E,'（居民）工资表-9月'!$E:$AC,25,0),0)</f>
        <v>0</v>
      </c>
      <c r="AD11" s="93">
        <f t="shared" si="6"/>
        <v>6500</v>
      </c>
      <c r="AE11" s="94">
        <f>ROUND(MAX((AD11)*{0.03;0.1;0.2;0.25;0.3;0.35;0.45}-{0;2520;16920;31920;52920;85920;181920},0),2)</f>
        <v>195</v>
      </c>
      <c r="AF11" s="95">
        <f>IFERROR(VLOOKUP(E:E,'（居民）工资表-9月'!E:AF,28,0)+VLOOKUP(E:E,'（居民）工资表-9月'!E:AG,29,0),0)</f>
        <v>97.5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227</v>
      </c>
      <c r="C12" s="37"/>
      <c r="D12" s="37" t="s">
        <v>52</v>
      </c>
      <c r="E12" s="37" t="s">
        <v>235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L12+IFERROR(VLOOKUP($E:$E,'（居民）工资表-9月'!$E:$S,15,0),0)</f>
        <v>22000</v>
      </c>
      <c r="T12" s="91">
        <f>5000+IFERROR(VLOOKUP($E:$E,'（居民）工资表-9月'!$E:$T,16,0),0)</f>
        <v>10000</v>
      </c>
      <c r="U12" s="91">
        <f>Q12+IFERROR(VLOOKUP($E:$E,'（居民）工资表-9月'!$E:$U,17,0),0)</f>
        <v>3850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R12+IFERROR(VLOOKUP($E:$E,'（居民）工资表-9月'!$E:$AC,25,0),0)</f>
        <v>0</v>
      </c>
      <c r="AD12" s="93">
        <f t="shared" si="6"/>
        <v>8150</v>
      </c>
      <c r="AE12" s="94">
        <f>ROUND(MAX((AD12)*{0.03;0.1;0.2;0.25;0.3;0.35;0.45}-{0;2520;16920;31920;52920;85920;181920},0),2)</f>
        <v>244.5</v>
      </c>
      <c r="AF12" s="95">
        <f>IFERROR(VLOOKUP(E:E,'（居民）工资表-9月'!E:AF,28,0)+VLOOKUP(E:E,'（居民）工资表-9月'!E:AG,29,0),0)</f>
        <v>122.25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227</v>
      </c>
      <c r="C13" s="37"/>
      <c r="D13" s="37" t="s">
        <v>52</v>
      </c>
      <c r="E13" s="37" t="s">
        <v>236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L13+IFERROR(VLOOKUP($E:$E,'（居民）工资表-9月'!$E:$S,15,0),0)</f>
        <v>24000</v>
      </c>
      <c r="T13" s="91">
        <f>5000+IFERROR(VLOOKUP($E:$E,'（居民）工资表-9月'!$E:$T,16,0),0)</f>
        <v>10000</v>
      </c>
      <c r="U13" s="91">
        <f>Q13+IFERROR(VLOOKUP($E:$E,'（居民）工资表-9月'!$E:$U,17,0),0)</f>
        <v>4200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R13+IFERROR(VLOOKUP($E:$E,'（居民）工资表-9月'!$E:$AC,25,0),0)</f>
        <v>0</v>
      </c>
      <c r="AD13" s="93">
        <f t="shared" si="6"/>
        <v>9800</v>
      </c>
      <c r="AE13" s="94">
        <f>ROUND(MAX((AD13)*{0.03;0.1;0.2;0.25;0.3;0.35;0.45}-{0;2520;16920;31920;52920;85920;181920},0),2)</f>
        <v>294</v>
      </c>
      <c r="AF13" s="95">
        <f>IFERROR(VLOOKUP(E:E,'（居民）工资表-9月'!E:AF,28,0)+VLOOKUP(E:E,'（居民）工资表-9月'!E:AG,29,0),0)</f>
        <v>147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227</v>
      </c>
      <c r="C14" s="37"/>
      <c r="D14" s="37" t="s">
        <v>52</v>
      </c>
      <c r="E14" s="37" t="s">
        <v>237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L14+IFERROR(VLOOKUP($E:$E,'（居民）工资表-9月'!$E:$S,15,0),0)</f>
        <v>26000</v>
      </c>
      <c r="T14" s="91">
        <f>5000+IFERROR(VLOOKUP($E:$E,'（居民）工资表-9月'!$E:$T,16,0),0)</f>
        <v>10000</v>
      </c>
      <c r="U14" s="91">
        <f>Q14+IFERROR(VLOOKUP($E:$E,'（居民）工资表-9月'!$E:$U,17,0),0)</f>
        <v>4550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R14+IFERROR(VLOOKUP($E:$E,'（居民）工资表-9月'!$E:$AC,25,0),0)</f>
        <v>0</v>
      </c>
      <c r="AD14" s="93">
        <f t="shared" si="6"/>
        <v>11450</v>
      </c>
      <c r="AE14" s="94">
        <f>ROUND(MAX((AD14)*{0.03;0.1;0.2;0.25;0.3;0.35;0.45}-{0;2520;16920;31920;52920;85920;181920},0),2)</f>
        <v>343.5</v>
      </c>
      <c r="AF14" s="95">
        <f>IFERROR(VLOOKUP(E:E,'（居民）工资表-9月'!E:AF,28,0)+VLOOKUP(E:E,'（居民）工资表-9月'!E:AG,29,0),0)</f>
        <v>171.75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227</v>
      </c>
      <c r="C15" s="37"/>
      <c r="D15" s="37" t="s">
        <v>52</v>
      </c>
      <c r="E15" s="37" t="s">
        <v>238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L15+IFERROR(VLOOKUP($E:$E,'（居民）工资表-9月'!$E:$S,15,0),0)</f>
        <v>28000</v>
      </c>
      <c r="T15" s="91">
        <f>5000+IFERROR(VLOOKUP($E:$E,'（居民）工资表-9月'!$E:$T,16,0),0)</f>
        <v>10000</v>
      </c>
      <c r="U15" s="91">
        <f>Q15+IFERROR(VLOOKUP($E:$E,'（居民）工资表-9月'!$E:$U,17,0),0)</f>
        <v>4900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R15+IFERROR(VLOOKUP($E:$E,'（居民）工资表-9月'!$E:$AC,25,0),0)</f>
        <v>0</v>
      </c>
      <c r="AD15" s="93">
        <f t="shared" si="6"/>
        <v>13100</v>
      </c>
      <c r="AE15" s="94">
        <f>ROUND(MAX((AD15)*{0.03;0.1;0.2;0.25;0.3;0.35;0.45}-{0;2520;16920;31920;52920;85920;181920},0),2)</f>
        <v>393</v>
      </c>
      <c r="AF15" s="95">
        <f>IFERROR(VLOOKUP(E:E,'（居民）工资表-9月'!E:AF,28,0)+VLOOKUP(E:E,'（居民）工资表-9月'!E:AG,29,0),0)</f>
        <v>196.5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227</v>
      </c>
      <c r="C16" s="37"/>
      <c r="D16" s="37" t="s">
        <v>52</v>
      </c>
      <c r="E16" s="37" t="s">
        <v>239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L16+IFERROR(VLOOKUP($E:$E,'（居民）工资表-9月'!$E:$S,15,0),0)</f>
        <v>30000</v>
      </c>
      <c r="T16" s="91">
        <f>5000+IFERROR(VLOOKUP($E:$E,'（居民）工资表-9月'!$E:$T,16,0),0)</f>
        <v>10000</v>
      </c>
      <c r="U16" s="91">
        <f>Q16+IFERROR(VLOOKUP($E:$E,'（居民）工资表-9月'!$E:$U,17,0),0)</f>
        <v>5250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R16+IFERROR(VLOOKUP($E:$E,'（居民）工资表-9月'!$E:$AC,25,0),0)</f>
        <v>0</v>
      </c>
      <c r="AD16" s="93">
        <f t="shared" si="6"/>
        <v>14750</v>
      </c>
      <c r="AE16" s="94">
        <f>ROUND(MAX((AD16)*{0.03;0.1;0.2;0.25;0.3;0.35;0.45}-{0;2520;16920;31920;52920;85920;181920},0),2)</f>
        <v>442.5</v>
      </c>
      <c r="AF16" s="95">
        <f>IFERROR(VLOOKUP(E:E,'（居民）工资表-9月'!E:AF,28,0)+VLOOKUP(E:E,'（居民）工资表-9月'!E:AG,29,0),0)</f>
        <v>221.25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227</v>
      </c>
      <c r="C17" s="37"/>
      <c r="D17" s="37" t="s">
        <v>52</v>
      </c>
      <c r="E17" s="37" t="s">
        <v>240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L17+IFERROR(VLOOKUP($E:$E,'（居民）工资表-9月'!$E:$S,15,0),0)</f>
        <v>32000</v>
      </c>
      <c r="T17" s="91">
        <f>5000+IFERROR(VLOOKUP($E:$E,'（居民）工资表-9月'!$E:$T,16,0),0)</f>
        <v>10000</v>
      </c>
      <c r="U17" s="91">
        <f>Q17+IFERROR(VLOOKUP($E:$E,'（居民）工资表-9月'!$E:$U,17,0),0)</f>
        <v>5600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R17+IFERROR(VLOOKUP($E:$E,'（居民）工资表-9月'!$E:$AC,25,0),0)</f>
        <v>0</v>
      </c>
      <c r="AD17" s="93">
        <f t="shared" si="6"/>
        <v>16400</v>
      </c>
      <c r="AE17" s="94">
        <f>ROUND(MAX((AD17)*{0.03;0.1;0.2;0.25;0.3;0.35;0.45}-{0;2520;16920;31920;52920;85920;181920},0),2)</f>
        <v>492</v>
      </c>
      <c r="AF17" s="95">
        <f>IFERROR(VLOOKUP(E:E,'（居民）工资表-9月'!E:AF,28,0)+VLOOKUP(E:E,'（居民）工资表-9月'!E:AG,29,0),0)</f>
        <v>246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227</v>
      </c>
      <c r="C18" s="37"/>
      <c r="D18" s="37" t="s">
        <v>52</v>
      </c>
      <c r="E18" s="37" t="s">
        <v>241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L18+IFERROR(VLOOKUP($E:$E,'（居民）工资表-9月'!$E:$S,15,0),0)</f>
        <v>34000</v>
      </c>
      <c r="T18" s="91">
        <f>5000+IFERROR(VLOOKUP($E:$E,'（居民）工资表-9月'!$E:$T,16,0),0)</f>
        <v>10000</v>
      </c>
      <c r="U18" s="91">
        <f>Q18+IFERROR(VLOOKUP($E:$E,'（居民）工资表-9月'!$E:$U,17,0),0)</f>
        <v>5950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R18+IFERROR(VLOOKUP($E:$E,'（居民）工资表-9月'!$E:$AC,25,0),0)</f>
        <v>0</v>
      </c>
      <c r="AD18" s="93">
        <f t="shared" si="6"/>
        <v>18050</v>
      </c>
      <c r="AE18" s="94">
        <f>ROUND(MAX((AD18)*{0.03;0.1;0.2;0.25;0.3;0.35;0.45}-{0;2520;16920;31920;52920;85920;181920},0),2)</f>
        <v>541.5</v>
      </c>
      <c r="AF18" s="95">
        <f>IFERROR(VLOOKUP(E:E,'（居民）工资表-9月'!E:AF,28,0)+VLOOKUP(E:E,'（居民）工资表-9月'!E:AG,29,0),0)</f>
        <v>270.75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227</v>
      </c>
      <c r="C19" s="37"/>
      <c r="D19" s="37" t="s">
        <v>52</v>
      </c>
      <c r="E19" s="37" t="s">
        <v>242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L19+IFERROR(VLOOKUP($E:$E,'（居民）工资表-9月'!$E:$S,15,0),0)</f>
        <v>36000</v>
      </c>
      <c r="T19" s="91">
        <f>5000+IFERROR(VLOOKUP($E:$E,'（居民）工资表-9月'!$E:$T,16,0),0)</f>
        <v>10000</v>
      </c>
      <c r="U19" s="91">
        <f>Q19+IFERROR(VLOOKUP($E:$E,'（居民）工资表-9月'!$E:$U,17,0),0)</f>
        <v>6300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R19+IFERROR(VLOOKUP($E:$E,'（居民）工资表-9月'!$E:$AC,25,0),0)</f>
        <v>0</v>
      </c>
      <c r="AD19" s="93">
        <f t="shared" si="6"/>
        <v>19700</v>
      </c>
      <c r="AE19" s="94">
        <f>ROUND(MAX((AD19)*{0.03;0.1;0.2;0.25;0.3;0.35;0.45}-{0;2520;16920;31920;52920;85920;181920},0),2)</f>
        <v>591</v>
      </c>
      <c r="AF19" s="95">
        <f>IFERROR(VLOOKUP(E:E,'（居民）工资表-9月'!E:AF,28,0)+VLOOKUP(E:E,'（居民）工资表-9月'!E:AG,29,0),0)</f>
        <v>295.5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227</v>
      </c>
      <c r="C20" s="37"/>
      <c r="D20" s="37" t="s">
        <v>52</v>
      </c>
      <c r="E20" s="37" t="s">
        <v>243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L20+IFERROR(VLOOKUP($E:$E,'（居民）工资表-9月'!$E:$S,15,0),0)</f>
        <v>38000</v>
      </c>
      <c r="T20" s="91">
        <f>5000+IFERROR(VLOOKUP($E:$E,'（居民）工资表-9月'!$E:$T,16,0),0)</f>
        <v>10000</v>
      </c>
      <c r="U20" s="91">
        <f>Q20+IFERROR(VLOOKUP($E:$E,'（居民）工资表-9月'!$E:$U,17,0),0)</f>
        <v>6650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R20+IFERROR(VLOOKUP($E:$E,'（居民）工资表-9月'!$E:$AC,25,0),0)</f>
        <v>0</v>
      </c>
      <c r="AD20" s="93">
        <f t="shared" si="6"/>
        <v>21350</v>
      </c>
      <c r="AE20" s="94">
        <f>ROUND(MAX((AD20)*{0.03;0.1;0.2;0.25;0.3;0.35;0.45}-{0;2520;16920;31920;52920;85920;181920},0),2)</f>
        <v>640.5</v>
      </c>
      <c r="AF20" s="95">
        <f>IFERROR(VLOOKUP(E:E,'（居民）工资表-9月'!E:AF,28,0)+VLOOKUP(E:E,'（居民）工资表-9月'!E:AG,29,0),0)</f>
        <v>320.25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227</v>
      </c>
      <c r="C21" s="37"/>
      <c r="D21" s="37" t="s">
        <v>52</v>
      </c>
      <c r="E21" s="37" t="s">
        <v>244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L21+IFERROR(VLOOKUP($E:$E,'（居民）工资表-9月'!$E:$S,15,0),0)</f>
        <v>40000</v>
      </c>
      <c r="T21" s="91">
        <f>5000+IFERROR(VLOOKUP($E:$E,'（居民）工资表-9月'!$E:$T,16,0),0)</f>
        <v>10000</v>
      </c>
      <c r="U21" s="91">
        <f>Q21+IFERROR(VLOOKUP($E:$E,'（居民）工资表-9月'!$E:$U,17,0),0)</f>
        <v>7000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R21+IFERROR(VLOOKUP($E:$E,'（居民）工资表-9月'!$E:$AC,25,0),0)</f>
        <v>0</v>
      </c>
      <c r="AD21" s="93">
        <f t="shared" si="6"/>
        <v>23000</v>
      </c>
      <c r="AE21" s="94">
        <f>ROUND(MAX((AD21)*{0.03;0.1;0.2;0.25;0.3;0.35;0.45}-{0;2520;16920;31920;52920;85920;181920},0),2)</f>
        <v>690</v>
      </c>
      <c r="AF21" s="95">
        <f>IFERROR(VLOOKUP(E:E,'（居民）工资表-9月'!E:AF,28,0)+VLOOKUP(E:E,'（居民）工资表-9月'!E:AG,29,0),0)</f>
        <v>345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227</v>
      </c>
      <c r="C22" s="37"/>
      <c r="D22" s="37" t="s">
        <v>52</v>
      </c>
      <c r="E22" s="37" t="s">
        <v>245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L22+IFERROR(VLOOKUP($E:$E,'（居民）工资表-9月'!$E:$S,15,0),0)</f>
        <v>42000</v>
      </c>
      <c r="T22" s="91">
        <f>5000+IFERROR(VLOOKUP($E:$E,'（居民）工资表-9月'!$E:$T,16,0),0)</f>
        <v>10000</v>
      </c>
      <c r="U22" s="91">
        <f>Q22+IFERROR(VLOOKUP($E:$E,'（居民）工资表-9月'!$E:$U,17,0),0)</f>
        <v>7350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R22+IFERROR(VLOOKUP($E:$E,'（居民）工资表-9月'!$E:$AC,25,0),0)</f>
        <v>0</v>
      </c>
      <c r="AD22" s="93">
        <f t="shared" si="6"/>
        <v>24650</v>
      </c>
      <c r="AE22" s="94">
        <f>ROUND(MAX((AD22)*{0.03;0.1;0.2;0.25;0.3;0.35;0.45}-{0;2520;16920;31920;52920;85920;181920},0),2)</f>
        <v>739.5</v>
      </c>
      <c r="AF22" s="95">
        <f>IFERROR(VLOOKUP(E:E,'（居民）工资表-9月'!E:AF,28,0)+VLOOKUP(E:E,'（居民）工资表-9月'!E:AG,29,0),0)</f>
        <v>369.75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227</v>
      </c>
      <c r="C23" s="37"/>
      <c r="D23" s="37" t="s">
        <v>52</v>
      </c>
      <c r="E23" s="37" t="s">
        <v>246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L23+IFERROR(VLOOKUP($E:$E,'（居民）工资表-9月'!$E:$S,15,0),0)</f>
        <v>44000</v>
      </c>
      <c r="T23" s="91">
        <f>5000+IFERROR(VLOOKUP($E:$E,'（居民）工资表-9月'!$E:$T,16,0),0)</f>
        <v>10000</v>
      </c>
      <c r="U23" s="91">
        <f>Q23+IFERROR(VLOOKUP($E:$E,'（居民）工资表-9月'!$E:$U,17,0),0)</f>
        <v>7700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R23+IFERROR(VLOOKUP($E:$E,'（居民）工资表-9月'!$E:$AC,25,0),0)</f>
        <v>0</v>
      </c>
      <c r="AD23" s="93">
        <f t="shared" si="6"/>
        <v>26300</v>
      </c>
      <c r="AE23" s="94">
        <f>ROUND(MAX((AD23)*{0.03;0.1;0.2;0.25;0.3;0.35;0.45}-{0;2520;16920;31920;52920;85920;181920},0),2)</f>
        <v>789</v>
      </c>
      <c r="AF23" s="95">
        <f>IFERROR(VLOOKUP(E:E,'（居民）工资表-9月'!E:AF,28,0)+VLOOKUP(E:E,'（居民）工资表-9月'!E:AG,29,0),0)</f>
        <v>394.5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500000</v>
      </c>
      <c r="T24" s="74">
        <f t="shared" si="12"/>
        <v>200000</v>
      </c>
      <c r="U24" s="74">
        <f t="shared" si="12"/>
        <v>87500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212500</v>
      </c>
      <c r="AE24" s="74">
        <f t="shared" si="12"/>
        <v>6684</v>
      </c>
      <c r="AF24" s="74">
        <f t="shared" si="12"/>
        <v>3342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227</v>
      </c>
      <c r="C4" s="37"/>
      <c r="D4" s="37" t="s">
        <v>52</v>
      </c>
      <c r="E4" s="37" t="s">
        <v>228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L4+IFERROR(VLOOKUP($E:$E,'（居民）工资表-10月'!$E:$S,15,0),0)</f>
        <v>9000</v>
      </c>
      <c r="T4" s="91">
        <f>5000+IFERROR(VLOOKUP($E:$E,'（居民）工资表-10月'!$E:$T,16,0),0)</f>
        <v>15000</v>
      </c>
      <c r="U4" s="91">
        <f>Q4+IFERROR(VLOOKUP($E:$E,'（居民）工资表-10月'!$E:$U,17,0),0)</f>
        <v>1575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-7575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227</v>
      </c>
      <c r="C5" s="37"/>
      <c r="D5" s="37" t="s">
        <v>52</v>
      </c>
      <c r="E5" s="37" t="s">
        <v>229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L5+IFERROR(VLOOKUP($E:$E,'（居民）工资表-10月'!$E:$S,15,0),0)</f>
        <v>12000</v>
      </c>
      <c r="T5" s="91">
        <f>5000+IFERROR(VLOOKUP($E:$E,'（居民）工资表-10月'!$E:$T,16,0),0)</f>
        <v>15000</v>
      </c>
      <c r="U5" s="91">
        <f>Q5+IFERROR(VLOOKUP($E:$E,'（居民）工资表-10月'!$E:$U,17,0),0)</f>
        <v>2100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R5+IFERROR(VLOOKUP($E:$E,'（居民）工资表-10月'!$E:$AC,25,0),0)</f>
        <v>0</v>
      </c>
      <c r="AD5" s="93">
        <f t="shared" ref="AD5:AD23" si="6">ROUND(S5-T5-U5-AB5-AC5,2)</f>
        <v>-5100</v>
      </c>
      <c r="AE5" s="94">
        <f>ROUND(MAX((AD5)*{0.03;0.1;0.2;0.25;0.3;0.35;0.45}-{0;2520;16920;31920;52920;85920;181920},0),2)</f>
        <v>0</v>
      </c>
      <c r="AF5" s="95">
        <f>IFERROR(VLOOKUP(E:E,'（居民）工资表-10月'!E:AF,28,0)+VLOOKUP(E:E,'（居民）工资表-10月'!E:AG,29,0),0)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227</v>
      </c>
      <c r="C6" s="37"/>
      <c r="D6" s="37" t="s">
        <v>52</v>
      </c>
      <c r="E6" s="37" t="s">
        <v>230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L6+IFERROR(VLOOKUP($E:$E,'（居民）工资表-10月'!$E:$S,15,0),0)</f>
        <v>15000</v>
      </c>
      <c r="T6" s="91">
        <f>5000+IFERROR(VLOOKUP($E:$E,'（居民）工资表-10月'!$E:$T,16,0),0)</f>
        <v>15000</v>
      </c>
      <c r="U6" s="91">
        <f>Q6+IFERROR(VLOOKUP($E:$E,'（居民）工资表-10月'!$E:$U,17,0),0)</f>
        <v>2625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R6+IFERROR(VLOOKUP($E:$E,'（居民）工资表-10月'!$E:$AC,25,0),0)</f>
        <v>0</v>
      </c>
      <c r="AD6" s="93">
        <f t="shared" si="6"/>
        <v>-2625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227</v>
      </c>
      <c r="C7" s="37"/>
      <c r="D7" s="37" t="s">
        <v>52</v>
      </c>
      <c r="E7" s="37" t="s">
        <v>231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L7+IFERROR(VLOOKUP($E:$E,'（居民）工资表-10月'!$E:$S,15,0),0)</f>
        <v>18000</v>
      </c>
      <c r="T7" s="91">
        <f>5000+IFERROR(VLOOKUP($E:$E,'（居民）工资表-10月'!$E:$T,16,0),0)</f>
        <v>15000</v>
      </c>
      <c r="U7" s="91">
        <f>Q7+IFERROR(VLOOKUP($E:$E,'（居民）工资表-10月'!$E:$U,17,0),0)</f>
        <v>3150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R7+IFERROR(VLOOKUP($E:$E,'（居民）工资表-10月'!$E:$AC,25,0),0)</f>
        <v>0</v>
      </c>
      <c r="AD7" s="93">
        <f t="shared" si="6"/>
        <v>-150</v>
      </c>
      <c r="AE7" s="94">
        <f>ROUND(MAX((AD7)*{0.03;0.1;0.2;0.25;0.3;0.35;0.45}-{0;2520;16920;31920;52920;85920;181920},0),2)</f>
        <v>0</v>
      </c>
      <c r="AF7" s="95">
        <f>IFERROR(VLOOKUP(E:E,'（居民）工资表-10月'!E:AF,28,0)+VLOOKUP(E:E,'（居民）工资表-10月'!E:AG,29,0),0)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227</v>
      </c>
      <c r="C8" s="37"/>
      <c r="D8" s="37" t="s">
        <v>52</v>
      </c>
      <c r="E8" s="37" t="s">
        <v>175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L8+IFERROR(VLOOKUP($E:$E,'（居民）工资表-10月'!$E:$S,15,0),0)</f>
        <v>21000</v>
      </c>
      <c r="T8" s="91">
        <f>5000+IFERROR(VLOOKUP($E:$E,'（居民）工资表-10月'!$E:$T,16,0),0)</f>
        <v>15000</v>
      </c>
      <c r="U8" s="91">
        <f>Q8+IFERROR(VLOOKUP($E:$E,'（居民）工资表-10月'!$E:$U,17,0),0)</f>
        <v>3675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R8+IFERROR(VLOOKUP($E:$E,'（居民）工资表-10月'!$E:$AC,25,0),0)</f>
        <v>0</v>
      </c>
      <c r="AD8" s="93">
        <f t="shared" si="6"/>
        <v>2325</v>
      </c>
      <c r="AE8" s="94">
        <f>ROUND(MAX((AD8)*{0.03;0.1;0.2;0.25;0.3;0.35;0.45}-{0;2520;16920;31920;52920;85920;181920},0),2)</f>
        <v>69.75</v>
      </c>
      <c r="AF8" s="95">
        <f>IFERROR(VLOOKUP(E:E,'（居民）工资表-10月'!E:AF,28,0)+VLOOKUP(E:E,'（居民）工资表-10月'!E:AG,29,0),0)</f>
        <v>46.5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227</v>
      </c>
      <c r="C9" s="37"/>
      <c r="D9" s="37" t="s">
        <v>52</v>
      </c>
      <c r="E9" s="37" t="s">
        <v>232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L9+IFERROR(VLOOKUP($E:$E,'（居民）工资表-10月'!$E:$S,15,0),0)</f>
        <v>24000</v>
      </c>
      <c r="T9" s="91">
        <f>5000+IFERROR(VLOOKUP($E:$E,'（居民）工资表-10月'!$E:$T,16,0),0)</f>
        <v>15000</v>
      </c>
      <c r="U9" s="91">
        <f>Q9+IFERROR(VLOOKUP($E:$E,'（居民）工资表-10月'!$E:$U,17,0),0)</f>
        <v>4200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R9+IFERROR(VLOOKUP($E:$E,'（居民）工资表-10月'!$E:$AC,25,0),0)</f>
        <v>0</v>
      </c>
      <c r="AD9" s="93">
        <f t="shared" si="6"/>
        <v>4800</v>
      </c>
      <c r="AE9" s="94">
        <f>ROUND(MAX((AD9)*{0.03;0.1;0.2;0.25;0.3;0.35;0.45}-{0;2520;16920;31920;52920;85920;181920},0),2)</f>
        <v>144</v>
      </c>
      <c r="AF9" s="95">
        <f>IFERROR(VLOOKUP(E:E,'（居民）工资表-10月'!E:AF,28,0)+VLOOKUP(E:E,'（居民）工资表-10月'!E:AG,29,0),0)</f>
        <v>96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227</v>
      </c>
      <c r="C10" s="37"/>
      <c r="D10" s="37" t="s">
        <v>52</v>
      </c>
      <c r="E10" s="37" t="s">
        <v>233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L10+IFERROR(VLOOKUP($E:$E,'（居民）工资表-10月'!$E:$S,15,0),0)</f>
        <v>27000</v>
      </c>
      <c r="T10" s="91">
        <f>5000+IFERROR(VLOOKUP($E:$E,'（居民）工资表-10月'!$E:$T,16,0),0)</f>
        <v>15000</v>
      </c>
      <c r="U10" s="91">
        <f>Q10+IFERROR(VLOOKUP($E:$E,'（居民）工资表-10月'!$E:$U,17,0),0)</f>
        <v>4725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R10+IFERROR(VLOOKUP($E:$E,'（居民）工资表-10月'!$E:$AC,25,0),0)</f>
        <v>0</v>
      </c>
      <c r="AD10" s="93">
        <f t="shared" si="6"/>
        <v>7275</v>
      </c>
      <c r="AE10" s="94">
        <f>ROUND(MAX((AD10)*{0.03;0.1;0.2;0.25;0.3;0.35;0.45}-{0;2520;16920;31920;52920;85920;181920},0),2)</f>
        <v>218.25</v>
      </c>
      <c r="AF10" s="95">
        <f>IFERROR(VLOOKUP(E:E,'（居民）工资表-10月'!E:AF,28,0)+VLOOKUP(E:E,'（居民）工资表-10月'!E:AG,29,0),0)</f>
        <v>145.5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227</v>
      </c>
      <c r="C11" s="37"/>
      <c r="D11" s="37" t="s">
        <v>52</v>
      </c>
      <c r="E11" s="37" t="s">
        <v>234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L11+IFERROR(VLOOKUP($E:$E,'（居民）工资表-10月'!$E:$S,15,0),0)</f>
        <v>30000</v>
      </c>
      <c r="T11" s="91">
        <f>5000+IFERROR(VLOOKUP($E:$E,'（居民）工资表-10月'!$E:$T,16,0),0)</f>
        <v>15000</v>
      </c>
      <c r="U11" s="91">
        <f>Q11+IFERROR(VLOOKUP($E:$E,'（居民）工资表-10月'!$E:$U,17,0),0)</f>
        <v>5250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R11+IFERROR(VLOOKUP($E:$E,'（居民）工资表-10月'!$E:$AC,25,0),0)</f>
        <v>0</v>
      </c>
      <c r="AD11" s="93">
        <f t="shared" si="6"/>
        <v>9750</v>
      </c>
      <c r="AE11" s="94">
        <f>ROUND(MAX((AD11)*{0.03;0.1;0.2;0.25;0.3;0.35;0.45}-{0;2520;16920;31920;52920;85920;181920},0),2)</f>
        <v>292.5</v>
      </c>
      <c r="AF11" s="95">
        <f>IFERROR(VLOOKUP(E:E,'（居民）工资表-10月'!E:AF,28,0)+VLOOKUP(E:E,'（居民）工资表-10月'!E:AG,29,0),0)</f>
        <v>195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227</v>
      </c>
      <c r="C12" s="37"/>
      <c r="D12" s="37" t="s">
        <v>52</v>
      </c>
      <c r="E12" s="37" t="s">
        <v>235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L12+IFERROR(VLOOKUP($E:$E,'（居民）工资表-10月'!$E:$S,15,0),0)</f>
        <v>33000</v>
      </c>
      <c r="T12" s="91">
        <f>5000+IFERROR(VLOOKUP($E:$E,'（居民）工资表-10月'!$E:$T,16,0),0)</f>
        <v>15000</v>
      </c>
      <c r="U12" s="91">
        <f>Q12+IFERROR(VLOOKUP($E:$E,'（居民）工资表-10月'!$E:$U,17,0),0)</f>
        <v>5775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R12+IFERROR(VLOOKUP($E:$E,'（居民）工资表-10月'!$E:$AC,25,0),0)</f>
        <v>0</v>
      </c>
      <c r="AD12" s="93">
        <f t="shared" si="6"/>
        <v>12225</v>
      </c>
      <c r="AE12" s="94">
        <f>ROUND(MAX((AD12)*{0.03;0.1;0.2;0.25;0.3;0.35;0.45}-{0;2520;16920;31920;52920;85920;181920},0),2)</f>
        <v>366.75</v>
      </c>
      <c r="AF12" s="95">
        <f>IFERROR(VLOOKUP(E:E,'（居民）工资表-10月'!E:AF,28,0)+VLOOKUP(E:E,'（居民）工资表-10月'!E:AG,29,0),0)</f>
        <v>244.5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227</v>
      </c>
      <c r="C13" s="37"/>
      <c r="D13" s="37" t="s">
        <v>52</v>
      </c>
      <c r="E13" s="37" t="s">
        <v>236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L13+IFERROR(VLOOKUP($E:$E,'（居民）工资表-10月'!$E:$S,15,0),0)</f>
        <v>36000</v>
      </c>
      <c r="T13" s="91">
        <f>5000+IFERROR(VLOOKUP($E:$E,'（居民）工资表-10月'!$E:$T,16,0),0)</f>
        <v>15000</v>
      </c>
      <c r="U13" s="91">
        <f>Q13+IFERROR(VLOOKUP($E:$E,'（居民）工资表-10月'!$E:$U,17,0),0)</f>
        <v>6300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R13+IFERROR(VLOOKUP($E:$E,'（居民）工资表-10月'!$E:$AC,25,0),0)</f>
        <v>0</v>
      </c>
      <c r="AD13" s="93">
        <f t="shared" si="6"/>
        <v>14700</v>
      </c>
      <c r="AE13" s="94">
        <f>ROUND(MAX((AD13)*{0.03;0.1;0.2;0.25;0.3;0.35;0.45}-{0;2520;16920;31920;52920;85920;181920},0),2)</f>
        <v>441</v>
      </c>
      <c r="AF13" s="95">
        <f>IFERROR(VLOOKUP(E:E,'（居民）工资表-10月'!E:AF,28,0)+VLOOKUP(E:E,'（居民）工资表-10月'!E:AG,29,0),0)</f>
        <v>294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227</v>
      </c>
      <c r="C14" s="37"/>
      <c r="D14" s="37" t="s">
        <v>52</v>
      </c>
      <c r="E14" s="37" t="s">
        <v>237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L14+IFERROR(VLOOKUP($E:$E,'（居民）工资表-10月'!$E:$S,15,0),0)</f>
        <v>39000</v>
      </c>
      <c r="T14" s="91">
        <f>5000+IFERROR(VLOOKUP($E:$E,'（居民）工资表-10月'!$E:$T,16,0),0)</f>
        <v>15000</v>
      </c>
      <c r="U14" s="91">
        <f>Q14+IFERROR(VLOOKUP($E:$E,'（居民）工资表-10月'!$E:$U,17,0),0)</f>
        <v>6825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R14+IFERROR(VLOOKUP($E:$E,'（居民）工资表-10月'!$E:$AC,25,0),0)</f>
        <v>0</v>
      </c>
      <c r="AD14" s="93">
        <f t="shared" si="6"/>
        <v>17175</v>
      </c>
      <c r="AE14" s="94">
        <f>ROUND(MAX((AD14)*{0.03;0.1;0.2;0.25;0.3;0.35;0.45}-{0;2520;16920;31920;52920;85920;181920},0),2)</f>
        <v>515.25</v>
      </c>
      <c r="AF14" s="95">
        <f>IFERROR(VLOOKUP(E:E,'（居民）工资表-10月'!E:AF,28,0)+VLOOKUP(E:E,'（居民）工资表-10月'!E:AG,29,0),0)</f>
        <v>343.5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227</v>
      </c>
      <c r="C15" s="37"/>
      <c r="D15" s="37" t="s">
        <v>52</v>
      </c>
      <c r="E15" s="37" t="s">
        <v>238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L15+IFERROR(VLOOKUP($E:$E,'（居民）工资表-10月'!$E:$S,15,0),0)</f>
        <v>42000</v>
      </c>
      <c r="T15" s="91">
        <f>5000+IFERROR(VLOOKUP($E:$E,'（居民）工资表-10月'!$E:$T,16,0),0)</f>
        <v>15000</v>
      </c>
      <c r="U15" s="91">
        <f>Q15+IFERROR(VLOOKUP($E:$E,'（居民）工资表-10月'!$E:$U,17,0),0)</f>
        <v>7350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R15+IFERROR(VLOOKUP($E:$E,'（居民）工资表-10月'!$E:$AC,25,0),0)</f>
        <v>0</v>
      </c>
      <c r="AD15" s="93">
        <f t="shared" si="6"/>
        <v>19650</v>
      </c>
      <c r="AE15" s="94">
        <f>ROUND(MAX((AD15)*{0.03;0.1;0.2;0.25;0.3;0.35;0.45}-{0;2520;16920;31920;52920;85920;181920},0),2)</f>
        <v>589.5</v>
      </c>
      <c r="AF15" s="95">
        <f>IFERROR(VLOOKUP(E:E,'（居民）工资表-10月'!E:AF,28,0)+VLOOKUP(E:E,'（居民）工资表-10月'!E:AG,29,0),0)</f>
        <v>393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227</v>
      </c>
      <c r="C16" s="37"/>
      <c r="D16" s="37" t="s">
        <v>52</v>
      </c>
      <c r="E16" s="37" t="s">
        <v>239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L16+IFERROR(VLOOKUP($E:$E,'（居民）工资表-10月'!$E:$S,15,0),0)</f>
        <v>45000</v>
      </c>
      <c r="T16" s="91">
        <f>5000+IFERROR(VLOOKUP($E:$E,'（居民）工资表-10月'!$E:$T,16,0),0)</f>
        <v>15000</v>
      </c>
      <c r="U16" s="91">
        <f>Q16+IFERROR(VLOOKUP($E:$E,'（居民）工资表-10月'!$E:$U,17,0),0)</f>
        <v>7875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R16+IFERROR(VLOOKUP($E:$E,'（居民）工资表-10月'!$E:$AC,25,0),0)</f>
        <v>0</v>
      </c>
      <c r="AD16" s="93">
        <f t="shared" si="6"/>
        <v>22125</v>
      </c>
      <c r="AE16" s="94">
        <f>ROUND(MAX((AD16)*{0.03;0.1;0.2;0.25;0.3;0.35;0.45}-{0;2520;16920;31920;52920;85920;181920},0),2)</f>
        <v>663.75</v>
      </c>
      <c r="AF16" s="95">
        <f>IFERROR(VLOOKUP(E:E,'（居民）工资表-10月'!E:AF,28,0)+VLOOKUP(E:E,'（居民）工资表-10月'!E:AG,29,0),0)</f>
        <v>442.5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227</v>
      </c>
      <c r="C17" s="37"/>
      <c r="D17" s="37" t="s">
        <v>52</v>
      </c>
      <c r="E17" s="37" t="s">
        <v>240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L17+IFERROR(VLOOKUP($E:$E,'（居民）工资表-10月'!$E:$S,15,0),0)</f>
        <v>48000</v>
      </c>
      <c r="T17" s="91">
        <f>5000+IFERROR(VLOOKUP($E:$E,'（居民）工资表-10月'!$E:$T,16,0),0)</f>
        <v>15000</v>
      </c>
      <c r="U17" s="91">
        <f>Q17+IFERROR(VLOOKUP($E:$E,'（居民）工资表-10月'!$E:$U,17,0),0)</f>
        <v>8400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R17+IFERROR(VLOOKUP($E:$E,'（居民）工资表-10月'!$E:$AC,25,0),0)</f>
        <v>0</v>
      </c>
      <c r="AD17" s="93">
        <f t="shared" si="6"/>
        <v>24600</v>
      </c>
      <c r="AE17" s="94">
        <f>ROUND(MAX((AD17)*{0.03;0.1;0.2;0.25;0.3;0.35;0.45}-{0;2520;16920;31920;52920;85920;181920},0),2)</f>
        <v>738</v>
      </c>
      <c r="AF17" s="95">
        <f>IFERROR(VLOOKUP(E:E,'（居民）工资表-10月'!E:AF,28,0)+VLOOKUP(E:E,'（居民）工资表-10月'!E:AG,29,0),0)</f>
        <v>492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227</v>
      </c>
      <c r="C18" s="37"/>
      <c r="D18" s="37" t="s">
        <v>52</v>
      </c>
      <c r="E18" s="37" t="s">
        <v>241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L18+IFERROR(VLOOKUP($E:$E,'（居民）工资表-10月'!$E:$S,15,0),0)</f>
        <v>51000</v>
      </c>
      <c r="T18" s="91">
        <f>5000+IFERROR(VLOOKUP($E:$E,'（居民）工资表-10月'!$E:$T,16,0),0)</f>
        <v>15000</v>
      </c>
      <c r="U18" s="91">
        <f>Q18+IFERROR(VLOOKUP($E:$E,'（居民）工资表-10月'!$E:$U,17,0),0)</f>
        <v>8925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R18+IFERROR(VLOOKUP($E:$E,'（居民）工资表-10月'!$E:$AC,25,0),0)</f>
        <v>0</v>
      </c>
      <c r="AD18" s="93">
        <f t="shared" si="6"/>
        <v>27075</v>
      </c>
      <c r="AE18" s="94">
        <f>ROUND(MAX((AD18)*{0.03;0.1;0.2;0.25;0.3;0.35;0.45}-{0;2520;16920;31920;52920;85920;181920},0),2)</f>
        <v>812.25</v>
      </c>
      <c r="AF18" s="95">
        <f>IFERROR(VLOOKUP(E:E,'（居民）工资表-10月'!E:AF,28,0)+VLOOKUP(E:E,'（居民）工资表-10月'!E:AG,29,0),0)</f>
        <v>541.5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227</v>
      </c>
      <c r="C19" s="37"/>
      <c r="D19" s="37" t="s">
        <v>52</v>
      </c>
      <c r="E19" s="37" t="s">
        <v>242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L19+IFERROR(VLOOKUP($E:$E,'（居民）工资表-10月'!$E:$S,15,0),0)</f>
        <v>54000</v>
      </c>
      <c r="T19" s="91">
        <f>5000+IFERROR(VLOOKUP($E:$E,'（居民）工资表-10月'!$E:$T,16,0),0)</f>
        <v>15000</v>
      </c>
      <c r="U19" s="91">
        <f>Q19+IFERROR(VLOOKUP($E:$E,'（居民）工资表-10月'!$E:$U,17,0),0)</f>
        <v>9450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R19+IFERROR(VLOOKUP($E:$E,'（居民）工资表-10月'!$E:$AC,25,0),0)</f>
        <v>0</v>
      </c>
      <c r="AD19" s="93">
        <f t="shared" si="6"/>
        <v>29550</v>
      </c>
      <c r="AE19" s="94">
        <f>ROUND(MAX((AD19)*{0.03;0.1;0.2;0.25;0.3;0.35;0.45}-{0;2520;16920;31920;52920;85920;181920},0),2)</f>
        <v>886.5</v>
      </c>
      <c r="AF19" s="95">
        <f>IFERROR(VLOOKUP(E:E,'（居民）工资表-10月'!E:AF,28,0)+VLOOKUP(E:E,'（居民）工资表-10月'!E:AG,29,0),0)</f>
        <v>591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227</v>
      </c>
      <c r="C20" s="37"/>
      <c r="D20" s="37" t="s">
        <v>52</v>
      </c>
      <c r="E20" s="37" t="s">
        <v>243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L20+IFERROR(VLOOKUP($E:$E,'（居民）工资表-10月'!$E:$S,15,0),0)</f>
        <v>57000</v>
      </c>
      <c r="T20" s="91">
        <f>5000+IFERROR(VLOOKUP($E:$E,'（居民）工资表-10月'!$E:$T,16,0),0)</f>
        <v>15000</v>
      </c>
      <c r="U20" s="91">
        <f>Q20+IFERROR(VLOOKUP($E:$E,'（居民）工资表-10月'!$E:$U,17,0),0)</f>
        <v>9975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R20+IFERROR(VLOOKUP($E:$E,'（居民）工资表-10月'!$E:$AC,25,0),0)</f>
        <v>0</v>
      </c>
      <c r="AD20" s="93">
        <f t="shared" si="6"/>
        <v>32025</v>
      </c>
      <c r="AE20" s="94">
        <f>ROUND(MAX((AD20)*{0.03;0.1;0.2;0.25;0.3;0.35;0.45}-{0;2520;16920;31920;52920;85920;181920},0),2)</f>
        <v>960.75</v>
      </c>
      <c r="AF20" s="95">
        <f>IFERROR(VLOOKUP(E:E,'（居民）工资表-10月'!E:AF,28,0)+VLOOKUP(E:E,'（居民）工资表-10月'!E:AG,29,0),0)</f>
        <v>640.5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227</v>
      </c>
      <c r="C21" s="37"/>
      <c r="D21" s="37" t="s">
        <v>52</v>
      </c>
      <c r="E21" s="37" t="s">
        <v>244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L21+IFERROR(VLOOKUP($E:$E,'（居民）工资表-10月'!$E:$S,15,0),0)</f>
        <v>60000</v>
      </c>
      <c r="T21" s="91">
        <f>5000+IFERROR(VLOOKUP($E:$E,'（居民）工资表-10月'!$E:$T,16,0),0)</f>
        <v>15000</v>
      </c>
      <c r="U21" s="91">
        <f>Q21+IFERROR(VLOOKUP($E:$E,'（居民）工资表-10月'!$E:$U,17,0),0)</f>
        <v>10500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R21+IFERROR(VLOOKUP($E:$E,'（居民）工资表-10月'!$E:$AC,25,0),0)</f>
        <v>0</v>
      </c>
      <c r="AD21" s="93">
        <f t="shared" si="6"/>
        <v>34500</v>
      </c>
      <c r="AE21" s="94">
        <f>ROUND(MAX((AD21)*{0.03;0.1;0.2;0.25;0.3;0.35;0.45}-{0;2520;16920;31920;52920;85920;181920},0),2)</f>
        <v>1035</v>
      </c>
      <c r="AF21" s="95">
        <f>IFERROR(VLOOKUP(E:E,'（居民）工资表-10月'!E:AF,28,0)+VLOOKUP(E:E,'（居民）工资表-10月'!E:AG,29,0),0)</f>
        <v>690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227</v>
      </c>
      <c r="C22" s="37"/>
      <c r="D22" s="37" t="s">
        <v>52</v>
      </c>
      <c r="E22" s="37" t="s">
        <v>245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L22+IFERROR(VLOOKUP($E:$E,'（居民）工资表-10月'!$E:$S,15,0),0)</f>
        <v>63000</v>
      </c>
      <c r="T22" s="91">
        <f>5000+IFERROR(VLOOKUP($E:$E,'（居民）工资表-10月'!$E:$T,16,0),0)</f>
        <v>15000</v>
      </c>
      <c r="U22" s="91">
        <f>Q22+IFERROR(VLOOKUP($E:$E,'（居民）工资表-10月'!$E:$U,17,0),0)</f>
        <v>11025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R22+IFERROR(VLOOKUP($E:$E,'（居民）工资表-10月'!$E:$AC,25,0),0)</f>
        <v>0</v>
      </c>
      <c r="AD22" s="93">
        <f t="shared" si="6"/>
        <v>36975</v>
      </c>
      <c r="AE22" s="94">
        <f>ROUND(MAX((AD22)*{0.03;0.1;0.2;0.25;0.3;0.35;0.45}-{0;2520;16920;31920;52920;85920;181920},0),2)</f>
        <v>1177.5</v>
      </c>
      <c r="AF22" s="95">
        <f>IFERROR(VLOOKUP(E:E,'（居民）工资表-10月'!E:AF,28,0)+VLOOKUP(E:E,'（居民）工资表-10月'!E:AG,29,0),0)</f>
        <v>739.5</v>
      </c>
      <c r="AG22" s="95">
        <f t="shared" si="7"/>
        <v>438</v>
      </c>
      <c r="AH22" s="102">
        <f t="shared" si="8"/>
        <v>16887</v>
      </c>
      <c r="AI22" s="103"/>
      <c r="AJ22" s="102">
        <f t="shared" si="9"/>
        <v>16887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227</v>
      </c>
      <c r="C23" s="37"/>
      <c r="D23" s="37" t="s">
        <v>52</v>
      </c>
      <c r="E23" s="37" t="s">
        <v>246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L23+IFERROR(VLOOKUP($E:$E,'（居民）工资表-10月'!$E:$S,15,0),0)</f>
        <v>66000</v>
      </c>
      <c r="T23" s="91">
        <f>5000+IFERROR(VLOOKUP($E:$E,'（居民）工资表-10月'!$E:$T,16,0),0)</f>
        <v>15000</v>
      </c>
      <c r="U23" s="91">
        <f>Q23+IFERROR(VLOOKUP($E:$E,'（居民）工资表-10月'!$E:$U,17,0),0)</f>
        <v>11550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R23+IFERROR(VLOOKUP($E:$E,'（居民）工资表-10月'!$E:$AC,25,0),0)</f>
        <v>0</v>
      </c>
      <c r="AD23" s="93">
        <f t="shared" si="6"/>
        <v>39450</v>
      </c>
      <c r="AE23" s="94">
        <f>ROUND(MAX((AD23)*{0.03;0.1;0.2;0.25;0.3;0.35;0.45}-{0;2520;16920;31920;52920;85920;181920},0),2)</f>
        <v>1425</v>
      </c>
      <c r="AF23" s="95">
        <f>IFERROR(VLOOKUP(E:E,'（居民）工资表-10月'!E:AF,28,0)+VLOOKUP(E:E,'（居民）工资表-10月'!E:AG,29,0),0)</f>
        <v>789</v>
      </c>
      <c r="AG23" s="95">
        <f t="shared" si="7"/>
        <v>636</v>
      </c>
      <c r="AH23" s="102">
        <f t="shared" si="8"/>
        <v>17514</v>
      </c>
      <c r="AI23" s="103"/>
      <c r="AJ23" s="102">
        <f t="shared" si="9"/>
        <v>17514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750000</v>
      </c>
      <c r="T24" s="74">
        <f t="shared" si="12"/>
        <v>300000</v>
      </c>
      <c r="U24" s="74">
        <f t="shared" si="12"/>
        <v>131250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318750</v>
      </c>
      <c r="AE24" s="74">
        <f t="shared" si="12"/>
        <v>10335.75</v>
      </c>
      <c r="AF24" s="74">
        <f t="shared" si="12"/>
        <v>6684</v>
      </c>
      <c r="AG24" s="74">
        <f t="shared" si="12"/>
        <v>3651.75</v>
      </c>
      <c r="AH24" s="74">
        <f t="shared" si="12"/>
        <v>202598.25</v>
      </c>
      <c r="AI24" s="105">
        <f t="shared" si="12"/>
        <v>0</v>
      </c>
      <c r="AJ24" s="74">
        <f t="shared" si="12"/>
        <v>202598.25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202598.25</v>
      </c>
      <c r="C29" s="48">
        <f>AG24</f>
        <v>3651.75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227</v>
      </c>
      <c r="C4" s="37"/>
      <c r="D4" s="37" t="s">
        <v>52</v>
      </c>
      <c r="E4" s="37" t="s">
        <v>228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12000</v>
      </c>
      <c r="T4" s="91">
        <f>5000+IFERROR(VLOOKUP($E:$E,'（居民）工资表-11月'!$E:$T,16,0),0)</f>
        <v>20000</v>
      </c>
      <c r="U4" s="91">
        <f>Q4+IFERROR(VLOOKUP($E:$E,'（居民）工资表-11月'!$E:$U,17,0),0)</f>
        <v>2100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-10100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227</v>
      </c>
      <c r="C5" s="37"/>
      <c r="D5" s="37" t="s">
        <v>52</v>
      </c>
      <c r="E5" s="37" t="s">
        <v>229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16000</v>
      </c>
      <c r="T5" s="91">
        <f>5000+IFERROR(VLOOKUP($E:$E,'（居民）工资表-11月'!$E:$T,16,0),0)</f>
        <v>20000</v>
      </c>
      <c r="U5" s="91">
        <f>Q5+IFERROR(VLOOKUP($E:$E,'（居民）工资表-11月'!$E:$U,17,0),0)</f>
        <v>2800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-6800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227</v>
      </c>
      <c r="C6" s="37"/>
      <c r="D6" s="37" t="s">
        <v>52</v>
      </c>
      <c r="E6" s="37" t="s">
        <v>230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20000</v>
      </c>
      <c r="T6" s="91">
        <f>5000+IFERROR(VLOOKUP($E:$E,'（居民）工资表-11月'!$E:$T,16,0),0)</f>
        <v>20000</v>
      </c>
      <c r="U6" s="91">
        <f>Q6+IFERROR(VLOOKUP($E:$E,'（居民）工资表-11月'!$E:$U,17,0),0)</f>
        <v>3500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-3500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227</v>
      </c>
      <c r="C7" s="37"/>
      <c r="D7" s="37" t="s">
        <v>52</v>
      </c>
      <c r="E7" s="37" t="s">
        <v>231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24000</v>
      </c>
      <c r="T7" s="91">
        <f>5000+IFERROR(VLOOKUP($E:$E,'（居民）工资表-11月'!$E:$T,16,0),0)</f>
        <v>20000</v>
      </c>
      <c r="U7" s="91">
        <f>Q7+IFERROR(VLOOKUP($E:$E,'（居民）工资表-11月'!$E:$U,17,0),0)</f>
        <v>4200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-200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227</v>
      </c>
      <c r="C8" s="37"/>
      <c r="D8" s="37" t="s">
        <v>52</v>
      </c>
      <c r="E8" s="37" t="s">
        <v>175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28000</v>
      </c>
      <c r="T8" s="91">
        <f>5000+IFERROR(VLOOKUP($E:$E,'（居民）工资表-11月'!$E:$T,16,0),0)</f>
        <v>20000</v>
      </c>
      <c r="U8" s="91">
        <f>Q8+IFERROR(VLOOKUP($E:$E,'（居民）工资表-11月'!$E:$U,17,0),0)</f>
        <v>4900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3100</v>
      </c>
      <c r="AE8" s="94">
        <f>ROUND(MAX((AD8)*{0.03;0.1;0.2;0.25;0.3;0.35;0.45}-{0;2520;16920;31920;52920;85920;181920},0),2)</f>
        <v>93</v>
      </c>
      <c r="AF8" s="95">
        <f>IFERROR(VLOOKUP(E:E,'（居民）工资表-11月'!E:AF,28,0)+VLOOKUP(E:E,'（居民）工资表-11月'!E:AG,29,0),0)</f>
        <v>69.75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227</v>
      </c>
      <c r="C9" s="37"/>
      <c r="D9" s="37" t="s">
        <v>52</v>
      </c>
      <c r="E9" s="37" t="s">
        <v>232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32000</v>
      </c>
      <c r="T9" s="91">
        <f>5000+IFERROR(VLOOKUP($E:$E,'（居民）工资表-11月'!$E:$T,16,0),0)</f>
        <v>20000</v>
      </c>
      <c r="U9" s="91">
        <f>Q9+IFERROR(VLOOKUP($E:$E,'（居民）工资表-11月'!$E:$U,17,0),0)</f>
        <v>5600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6400</v>
      </c>
      <c r="AE9" s="94">
        <f>ROUND(MAX((AD9)*{0.03;0.1;0.2;0.25;0.3;0.35;0.45}-{0;2520;16920;31920;52920;85920;181920},0),2)</f>
        <v>192</v>
      </c>
      <c r="AF9" s="95">
        <f>IFERROR(VLOOKUP(E:E,'（居民）工资表-11月'!E:AF,28,0)+VLOOKUP(E:E,'（居民）工资表-11月'!E:AG,29,0),0)</f>
        <v>144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227</v>
      </c>
      <c r="C10" s="37"/>
      <c r="D10" s="37" t="s">
        <v>52</v>
      </c>
      <c r="E10" s="37" t="s">
        <v>233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36000</v>
      </c>
      <c r="T10" s="91">
        <f>5000+IFERROR(VLOOKUP($E:$E,'（居民）工资表-11月'!$E:$T,16,0),0)</f>
        <v>20000</v>
      </c>
      <c r="U10" s="91">
        <f>Q10+IFERROR(VLOOKUP($E:$E,'（居民）工资表-11月'!$E:$U,17,0),0)</f>
        <v>6300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9700</v>
      </c>
      <c r="AE10" s="94">
        <f>ROUND(MAX((AD10)*{0.03;0.1;0.2;0.25;0.3;0.35;0.45}-{0;2520;16920;31920;52920;85920;181920},0),2)</f>
        <v>291</v>
      </c>
      <c r="AF10" s="95">
        <f>IFERROR(VLOOKUP(E:E,'（居民）工资表-11月'!E:AF,28,0)+VLOOKUP(E:E,'（居民）工资表-11月'!E:AG,29,0),0)</f>
        <v>218.25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227</v>
      </c>
      <c r="C11" s="37"/>
      <c r="D11" s="37" t="s">
        <v>52</v>
      </c>
      <c r="E11" s="37" t="s">
        <v>234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40000</v>
      </c>
      <c r="T11" s="91">
        <f>5000+IFERROR(VLOOKUP($E:$E,'（居民）工资表-11月'!$E:$T,16,0),0)</f>
        <v>20000</v>
      </c>
      <c r="U11" s="91">
        <f>Q11+IFERROR(VLOOKUP($E:$E,'（居民）工资表-11月'!$E:$U,17,0),0)</f>
        <v>7000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13000</v>
      </c>
      <c r="AE11" s="94">
        <f>ROUND(MAX((AD11)*{0.03;0.1;0.2;0.25;0.3;0.35;0.45}-{0;2520;16920;31920;52920;85920;181920},0),2)</f>
        <v>390</v>
      </c>
      <c r="AF11" s="95">
        <f>IFERROR(VLOOKUP(E:E,'（居民）工资表-11月'!E:AF,28,0)+VLOOKUP(E:E,'（居民）工资表-11月'!E:AG,29,0),0)</f>
        <v>292.5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227</v>
      </c>
      <c r="C12" s="37"/>
      <c r="D12" s="37" t="s">
        <v>52</v>
      </c>
      <c r="E12" s="37" t="s">
        <v>235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44000</v>
      </c>
      <c r="T12" s="91">
        <f>5000+IFERROR(VLOOKUP($E:$E,'（居民）工资表-11月'!$E:$T,16,0),0)</f>
        <v>20000</v>
      </c>
      <c r="U12" s="91">
        <f>Q12+IFERROR(VLOOKUP($E:$E,'（居民）工资表-11月'!$E:$U,17,0),0)</f>
        <v>7700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16300</v>
      </c>
      <c r="AE12" s="94">
        <f>ROUND(MAX((AD12)*{0.03;0.1;0.2;0.25;0.3;0.35;0.45}-{0;2520;16920;31920;52920;85920;181920},0),2)</f>
        <v>489</v>
      </c>
      <c r="AF12" s="95">
        <f>IFERROR(VLOOKUP(E:E,'（居民）工资表-11月'!E:AF,28,0)+VLOOKUP(E:E,'（居民）工资表-11月'!E:AG,29,0),0)</f>
        <v>366.75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227</v>
      </c>
      <c r="C13" s="37"/>
      <c r="D13" s="37" t="s">
        <v>52</v>
      </c>
      <c r="E13" s="37" t="s">
        <v>236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48000</v>
      </c>
      <c r="T13" s="91">
        <f>5000+IFERROR(VLOOKUP($E:$E,'（居民）工资表-11月'!$E:$T,16,0),0)</f>
        <v>20000</v>
      </c>
      <c r="U13" s="91">
        <f>Q13+IFERROR(VLOOKUP($E:$E,'（居民）工资表-11月'!$E:$U,17,0),0)</f>
        <v>8400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19600</v>
      </c>
      <c r="AE13" s="94">
        <f>ROUND(MAX((AD13)*{0.03;0.1;0.2;0.25;0.3;0.35;0.45}-{0;2520;16920;31920;52920;85920;181920},0),2)</f>
        <v>588</v>
      </c>
      <c r="AF13" s="95">
        <f>IFERROR(VLOOKUP(E:E,'（居民）工资表-11月'!E:AF,28,0)+VLOOKUP(E:E,'（居民）工资表-11月'!E:AG,29,0),0)</f>
        <v>441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227</v>
      </c>
      <c r="C14" s="37"/>
      <c r="D14" s="37" t="s">
        <v>52</v>
      </c>
      <c r="E14" s="37" t="s">
        <v>237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52000</v>
      </c>
      <c r="T14" s="91">
        <f>5000+IFERROR(VLOOKUP($E:$E,'（居民）工资表-11月'!$E:$T,16,0),0)</f>
        <v>20000</v>
      </c>
      <c r="U14" s="91">
        <f>Q14+IFERROR(VLOOKUP($E:$E,'（居民）工资表-11月'!$E:$U,17,0),0)</f>
        <v>9100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22900</v>
      </c>
      <c r="AE14" s="94">
        <f>ROUND(MAX((AD14)*{0.03;0.1;0.2;0.25;0.3;0.35;0.45}-{0;2520;16920;31920;52920;85920;181920},0),2)</f>
        <v>687</v>
      </c>
      <c r="AF14" s="95">
        <f>IFERROR(VLOOKUP(E:E,'（居民）工资表-11月'!E:AF,28,0)+VLOOKUP(E:E,'（居民）工资表-11月'!E:AG,29,0),0)</f>
        <v>515.25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227</v>
      </c>
      <c r="C15" s="37"/>
      <c r="D15" s="37" t="s">
        <v>52</v>
      </c>
      <c r="E15" s="37" t="s">
        <v>238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56000</v>
      </c>
      <c r="T15" s="91">
        <f>5000+IFERROR(VLOOKUP($E:$E,'（居民）工资表-11月'!$E:$T,16,0),0)</f>
        <v>20000</v>
      </c>
      <c r="U15" s="91">
        <f>Q15+IFERROR(VLOOKUP($E:$E,'（居民）工资表-11月'!$E:$U,17,0),0)</f>
        <v>9800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26200</v>
      </c>
      <c r="AE15" s="94">
        <f>ROUND(MAX((AD15)*{0.03;0.1;0.2;0.25;0.3;0.35;0.45}-{0;2520;16920;31920;52920;85920;181920},0),2)</f>
        <v>786</v>
      </c>
      <c r="AF15" s="95">
        <f>IFERROR(VLOOKUP(E:E,'（居民）工资表-11月'!E:AF,28,0)+VLOOKUP(E:E,'（居民）工资表-11月'!E:AG,29,0),0)</f>
        <v>589.5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227</v>
      </c>
      <c r="C16" s="37"/>
      <c r="D16" s="37" t="s">
        <v>52</v>
      </c>
      <c r="E16" s="37" t="s">
        <v>239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60000</v>
      </c>
      <c r="T16" s="91">
        <f>5000+IFERROR(VLOOKUP($E:$E,'（居民）工资表-11月'!$E:$T,16,0),0)</f>
        <v>20000</v>
      </c>
      <c r="U16" s="91">
        <f>Q16+IFERROR(VLOOKUP($E:$E,'（居民）工资表-11月'!$E:$U,17,0),0)</f>
        <v>10500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29500</v>
      </c>
      <c r="AE16" s="94">
        <f>ROUND(MAX((AD16)*{0.03;0.1;0.2;0.25;0.3;0.35;0.45}-{0;2520;16920;31920;52920;85920;181920},0),2)</f>
        <v>885</v>
      </c>
      <c r="AF16" s="95">
        <f>IFERROR(VLOOKUP(E:E,'（居民）工资表-11月'!E:AF,28,0)+VLOOKUP(E:E,'（居民）工资表-11月'!E:AG,29,0),0)</f>
        <v>663.75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227</v>
      </c>
      <c r="C17" s="37"/>
      <c r="D17" s="37" t="s">
        <v>52</v>
      </c>
      <c r="E17" s="37" t="s">
        <v>240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64000</v>
      </c>
      <c r="T17" s="91">
        <f>5000+IFERROR(VLOOKUP($E:$E,'（居民）工资表-11月'!$E:$T,16,0),0)</f>
        <v>20000</v>
      </c>
      <c r="U17" s="91">
        <f>Q17+IFERROR(VLOOKUP($E:$E,'（居民）工资表-11月'!$E:$U,17,0),0)</f>
        <v>11200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32800</v>
      </c>
      <c r="AE17" s="94">
        <f>ROUND(MAX((AD17)*{0.03;0.1;0.2;0.25;0.3;0.35;0.45}-{0;2520;16920;31920;52920;85920;181920},0),2)</f>
        <v>984</v>
      </c>
      <c r="AF17" s="95">
        <f>IFERROR(VLOOKUP(E:E,'（居民）工资表-11月'!E:AF,28,0)+VLOOKUP(E:E,'（居民）工资表-11月'!E:AG,29,0),0)</f>
        <v>738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227</v>
      </c>
      <c r="C18" s="37"/>
      <c r="D18" s="37" t="s">
        <v>52</v>
      </c>
      <c r="E18" s="37" t="s">
        <v>241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68000</v>
      </c>
      <c r="T18" s="91">
        <f>5000+IFERROR(VLOOKUP($E:$E,'（居民）工资表-11月'!$E:$T,16,0),0)</f>
        <v>20000</v>
      </c>
      <c r="U18" s="91">
        <f>Q18+IFERROR(VLOOKUP($E:$E,'（居民）工资表-11月'!$E:$U,17,0),0)</f>
        <v>11900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36100</v>
      </c>
      <c r="AE18" s="94">
        <f>ROUND(MAX((AD18)*{0.03;0.1;0.2;0.25;0.3;0.35;0.45}-{0;2520;16920;31920;52920;85920;181920},0),2)</f>
        <v>1090</v>
      </c>
      <c r="AF18" s="95">
        <f>IFERROR(VLOOKUP(E:E,'（居民）工资表-11月'!E:AF,28,0)+VLOOKUP(E:E,'（居民）工资表-11月'!E:AG,29,0),0)</f>
        <v>812.25</v>
      </c>
      <c r="AG18" s="95">
        <f t="shared" si="7"/>
        <v>277.75</v>
      </c>
      <c r="AH18" s="102">
        <f t="shared" si="8"/>
        <v>13747.25</v>
      </c>
      <c r="AI18" s="103"/>
      <c r="AJ18" s="102">
        <f t="shared" si="9"/>
        <v>13747.25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227</v>
      </c>
      <c r="C19" s="37"/>
      <c r="D19" s="37" t="s">
        <v>52</v>
      </c>
      <c r="E19" s="37" t="s">
        <v>242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72000</v>
      </c>
      <c r="T19" s="91">
        <f>5000+IFERROR(VLOOKUP($E:$E,'（居民）工资表-11月'!$E:$T,16,0),0)</f>
        <v>20000</v>
      </c>
      <c r="U19" s="91">
        <f>Q19+IFERROR(VLOOKUP($E:$E,'（居民）工资表-11月'!$E:$U,17,0),0)</f>
        <v>12600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39400</v>
      </c>
      <c r="AE19" s="94">
        <f>ROUND(MAX((AD19)*{0.03;0.1;0.2;0.25;0.3;0.35;0.45}-{0;2520;16920;31920;52920;85920;181920},0),2)</f>
        <v>1420</v>
      </c>
      <c r="AF19" s="95">
        <f>IFERROR(VLOOKUP(E:E,'（居民）工资表-11月'!E:AF,28,0)+VLOOKUP(E:E,'（居民）工资表-11月'!E:AG,29,0),0)</f>
        <v>886.5</v>
      </c>
      <c r="AG19" s="95">
        <f t="shared" si="7"/>
        <v>533.5</v>
      </c>
      <c r="AH19" s="102">
        <f t="shared" si="8"/>
        <v>14316.5</v>
      </c>
      <c r="AI19" s="103"/>
      <c r="AJ19" s="102">
        <f t="shared" si="9"/>
        <v>14316.5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227</v>
      </c>
      <c r="C20" s="37"/>
      <c r="D20" s="37" t="s">
        <v>52</v>
      </c>
      <c r="E20" s="37" t="s">
        <v>243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76000</v>
      </c>
      <c r="T20" s="91">
        <f>5000+IFERROR(VLOOKUP($E:$E,'（居民）工资表-11月'!$E:$T,16,0),0)</f>
        <v>20000</v>
      </c>
      <c r="U20" s="91">
        <f>Q20+IFERROR(VLOOKUP($E:$E,'（居民）工资表-11月'!$E:$U,17,0),0)</f>
        <v>13300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42700</v>
      </c>
      <c r="AE20" s="94">
        <f>ROUND(MAX((AD20)*{0.03;0.1;0.2;0.25;0.3;0.35;0.45}-{0;2520;16920;31920;52920;85920;181920},0),2)</f>
        <v>1750</v>
      </c>
      <c r="AF20" s="95">
        <f>IFERROR(VLOOKUP(E:E,'（居民）工资表-11月'!E:AF,28,0)+VLOOKUP(E:E,'（居民）工资表-11月'!E:AG,29,0),0)</f>
        <v>960.75</v>
      </c>
      <c r="AG20" s="95">
        <f t="shared" si="7"/>
        <v>789.25</v>
      </c>
      <c r="AH20" s="102">
        <f t="shared" si="8"/>
        <v>14885.75</v>
      </c>
      <c r="AI20" s="103"/>
      <c r="AJ20" s="102">
        <f t="shared" si="9"/>
        <v>14885.75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227</v>
      </c>
      <c r="C21" s="37"/>
      <c r="D21" s="37" t="s">
        <v>52</v>
      </c>
      <c r="E21" s="37" t="s">
        <v>244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80000</v>
      </c>
      <c r="T21" s="91">
        <f>5000+IFERROR(VLOOKUP($E:$E,'（居民）工资表-11月'!$E:$T,16,0),0)</f>
        <v>20000</v>
      </c>
      <c r="U21" s="91">
        <f>Q21+IFERROR(VLOOKUP($E:$E,'（居民）工资表-11月'!$E:$U,17,0),0)</f>
        <v>14000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46000</v>
      </c>
      <c r="AE21" s="94">
        <f>ROUND(MAX((AD21)*{0.03;0.1;0.2;0.25;0.3;0.35;0.45}-{0;2520;16920;31920;52920;85920;181920},0),2)</f>
        <v>2080</v>
      </c>
      <c r="AF21" s="95">
        <f>IFERROR(VLOOKUP(E:E,'（居民）工资表-11月'!E:AF,28,0)+VLOOKUP(E:E,'（居民）工资表-11月'!E:AG,29,0),0)</f>
        <v>1035</v>
      </c>
      <c r="AG21" s="95">
        <f t="shared" si="7"/>
        <v>1045</v>
      </c>
      <c r="AH21" s="102">
        <f t="shared" si="8"/>
        <v>15455</v>
      </c>
      <c r="AI21" s="103"/>
      <c r="AJ21" s="102">
        <f t="shared" si="9"/>
        <v>15455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227</v>
      </c>
      <c r="C22" s="37"/>
      <c r="D22" s="37" t="s">
        <v>52</v>
      </c>
      <c r="E22" s="37" t="s">
        <v>245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84000</v>
      </c>
      <c r="T22" s="91">
        <f>5000+IFERROR(VLOOKUP($E:$E,'（居民）工资表-11月'!$E:$T,16,0),0)</f>
        <v>20000</v>
      </c>
      <c r="U22" s="91">
        <f>Q22+IFERROR(VLOOKUP($E:$E,'（居民）工资表-11月'!$E:$U,17,0),0)</f>
        <v>14700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49300</v>
      </c>
      <c r="AE22" s="94">
        <f>ROUND(MAX((AD22)*{0.03;0.1;0.2;0.25;0.3;0.35;0.45}-{0;2520;16920;31920;52920;85920;181920},0),2)</f>
        <v>2410</v>
      </c>
      <c r="AF22" s="95">
        <f>IFERROR(VLOOKUP(E:E,'（居民）工资表-11月'!E:AF,28,0)+VLOOKUP(E:E,'（居民）工资表-11月'!E:AG,29,0),0)</f>
        <v>1177.5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227</v>
      </c>
      <c r="C23" s="37"/>
      <c r="D23" s="37" t="s">
        <v>52</v>
      </c>
      <c r="E23" s="37" t="s">
        <v>246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88000</v>
      </c>
      <c r="T23" s="91">
        <f>5000+IFERROR(VLOOKUP($E:$E,'（居民）工资表-11月'!$E:$T,16,0),0)</f>
        <v>20000</v>
      </c>
      <c r="U23" s="91">
        <f>Q23+IFERROR(VLOOKUP($E:$E,'（居民）工资表-11月'!$E:$U,17,0),0)</f>
        <v>15400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52600</v>
      </c>
      <c r="AE23" s="94">
        <f>ROUND(MAX((AD23)*{0.03;0.1;0.2;0.25;0.3;0.35;0.45}-{0;2520;16920;31920;52920;85920;181920},0),2)</f>
        <v>2740</v>
      </c>
      <c r="AF23" s="95">
        <f>IFERROR(VLOOKUP(E:E,'（居民）工资表-11月'!E:AF,28,0)+VLOOKUP(E:E,'（居民）工资表-11月'!E:AG,29,0),0)</f>
        <v>1425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1000000</v>
      </c>
      <c r="T24" s="74">
        <f t="shared" si="12"/>
        <v>400000</v>
      </c>
      <c r="U24" s="74">
        <f t="shared" si="12"/>
        <v>175000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425000</v>
      </c>
      <c r="AE24" s="74">
        <f t="shared" si="12"/>
        <v>16875</v>
      </c>
      <c r="AF24" s="74">
        <f t="shared" si="12"/>
        <v>10335.75</v>
      </c>
      <c r="AG24" s="74">
        <f t="shared" si="12"/>
        <v>6539.25</v>
      </c>
      <c r="AH24" s="74">
        <f t="shared" si="12"/>
        <v>199710.75</v>
      </c>
      <c r="AI24" s="105">
        <f t="shared" si="12"/>
        <v>0</v>
      </c>
      <c r="AJ24" s="74">
        <f t="shared" si="12"/>
        <v>199710.75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199710.75</v>
      </c>
      <c r="C29" s="48">
        <f>AG24</f>
        <v>6539.25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247</v>
      </c>
      <c r="C1" s="1"/>
      <c r="D1" s="1"/>
      <c r="E1" s="1"/>
    </row>
    <row r="2" ht="21" spans="2:2">
      <c r="B2" s="2"/>
    </row>
    <row r="3" ht="27.75" customHeight="1" spans="2:5">
      <c r="B3" s="3" t="s">
        <v>248</v>
      </c>
      <c r="C3" s="4" t="s">
        <v>249</v>
      </c>
      <c r="D3" s="4" t="s">
        <v>250</v>
      </c>
      <c r="E3" s="4" t="s">
        <v>251</v>
      </c>
    </row>
    <row r="4" ht="29.25" customHeight="1" spans="2:5">
      <c r="B4" s="5">
        <v>1</v>
      </c>
      <c r="C4" s="6" t="s">
        <v>252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253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254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255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256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257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258</v>
      </c>
      <c r="D10" s="7">
        <v>0.45</v>
      </c>
      <c r="E10" s="8">
        <v>181920</v>
      </c>
    </row>
    <row r="13" ht="57" customHeight="1" spans="2:5">
      <c r="B13" s="1" t="s">
        <v>259</v>
      </c>
      <c r="C13" s="1"/>
      <c r="D13" s="1"/>
      <c r="E13" s="1"/>
    </row>
    <row r="14" ht="21" spans="2:2">
      <c r="B14" s="2"/>
    </row>
    <row r="15" ht="27.75" customHeight="1" spans="2:5">
      <c r="B15" s="3" t="s">
        <v>248</v>
      </c>
      <c r="C15" s="4" t="s">
        <v>260</v>
      </c>
      <c r="D15" s="4" t="s">
        <v>250</v>
      </c>
      <c r="E15" s="4" t="s">
        <v>251</v>
      </c>
    </row>
    <row r="16" ht="29.25" customHeight="1" spans="2:5">
      <c r="B16" s="5">
        <v>1</v>
      </c>
      <c r="C16" s="6" t="s">
        <v>261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262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263</v>
      </c>
      <c r="D18" s="7">
        <v>0.4</v>
      </c>
      <c r="E18" s="8">
        <v>7000</v>
      </c>
    </row>
    <row r="21" ht="47.25" customHeight="1" spans="2:5">
      <c r="B21" s="1" t="s">
        <v>264</v>
      </c>
      <c r="C21" s="1"/>
      <c r="D21" s="1"/>
      <c r="E21" s="1"/>
    </row>
    <row r="22" ht="21" spans="2:2">
      <c r="B22" s="2"/>
    </row>
    <row r="23" ht="27.75" customHeight="1" spans="2:5">
      <c r="B23" s="3" t="s">
        <v>248</v>
      </c>
      <c r="C23" s="4" t="s">
        <v>265</v>
      </c>
      <c r="D23" s="4" t="s">
        <v>250</v>
      </c>
      <c r="E23" s="4" t="s">
        <v>251</v>
      </c>
    </row>
    <row r="24" ht="29.25" customHeight="1" spans="2:5">
      <c r="B24" s="5">
        <v>1</v>
      </c>
      <c r="C24" s="6" t="s">
        <v>266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267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268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269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270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271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272</v>
      </c>
      <c r="D30" s="7">
        <v>0.45</v>
      </c>
      <c r="E30" s="8">
        <v>15160</v>
      </c>
    </row>
    <row r="35" ht="57" customHeight="1" spans="2:5">
      <c r="B35" s="9" t="s">
        <v>273</v>
      </c>
      <c r="C35" s="9"/>
      <c r="D35" s="9"/>
      <c r="E35" s="9"/>
    </row>
    <row r="36" ht="14.25"/>
    <row r="37" ht="21.75" customHeight="1" spans="2:5">
      <c r="B37" s="3" t="s">
        <v>248</v>
      </c>
      <c r="C37" s="4" t="s">
        <v>274</v>
      </c>
      <c r="D37" s="4" t="s">
        <v>275</v>
      </c>
      <c r="E37" s="4" t="s">
        <v>251</v>
      </c>
    </row>
    <row r="38" ht="21.75" customHeight="1" spans="2:5">
      <c r="B38" s="5">
        <v>1</v>
      </c>
      <c r="C38" s="6" t="s">
        <v>266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267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268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269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270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271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272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（居民）工资表-1月</vt:lpstr>
      <vt:lpstr>付款通知</vt:lpstr>
      <vt:lpstr>（居民）工资表-2月</vt:lpstr>
      <vt:lpstr>（居民）工资表-3月</vt:lpstr>
      <vt:lpstr>社保</vt:lpstr>
      <vt:lpstr>（居民）工资表-4月</vt:lpstr>
      <vt:lpstr>（居民）工资表-5月</vt:lpstr>
      <vt:lpstr>社保1</vt:lpstr>
      <vt:lpstr>（居民）工资表-6月</vt:lpstr>
      <vt:lpstr>（居民）工资表-7月</vt:lpstr>
      <vt:lpstr>增减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睁只眼闭只眼</cp:lastModifiedBy>
  <dcterms:created xsi:type="dcterms:W3CDTF">2018-08-01T08:19:00Z</dcterms:created>
  <cp:lastPrinted>2019-02-02T09:30:00Z</cp:lastPrinted>
  <dcterms:modified xsi:type="dcterms:W3CDTF">2021-08-03T10:04:31Z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2052-11.1.0.10667</vt:lpwstr>
  </property>
  <property fmtid="{D5CDD505-2E9C-101B-9397-08002B2CF9AE}" pid="4" name="ICV">
    <vt:lpwstr>10EAE5EDE30349DCAC9561C615323FF3</vt:lpwstr>
  </property>
</Properties>
</file>