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32" firstSheet="1" activeTab="1"/>
  </bookViews>
  <sheets>
    <sheet name="（居民）工资表-1月" sheetId="1" state="hidden" r:id="rId1"/>
    <sheet name="付款通知" sheetId="26" r:id="rId2"/>
    <sheet name="（居民）工资表-2月" sheetId="15" state="hidden" r:id="rId3"/>
    <sheet name="社保" sheetId="27" r:id="rId4"/>
    <sheet name="（居民）工资表-3月" sheetId="16" state="hidden" r:id="rId5"/>
    <sheet name="（居民）工资表-4月" sheetId="17" r:id="rId6"/>
    <sheet name="（居民）工资表-5月" sheetId="18" state="hidden" r:id="rId7"/>
    <sheet name="（居民）工资表-6月" sheetId="19" state="hidden" r:id="rId8"/>
    <sheet name="（居民）工资表-7月" sheetId="20" state="hidden" r:id="rId9"/>
    <sheet name="（居民）工资表-8月" sheetId="21" state="hidden" r:id="rId10"/>
    <sheet name="（居民）工资表-9月" sheetId="22" state="hidden" r:id="rId11"/>
    <sheet name="（居民）工资表-10月" sheetId="23" state="hidden" r:id="rId12"/>
    <sheet name="（居民）工资表-11月" sheetId="24" state="hidden" r:id="rId13"/>
    <sheet name="（居民）工资表-12月" sheetId="25" state="hidden" r:id="rId14"/>
    <sheet name="Sheet1" sheetId="14" state="hidden" r:id="rId15"/>
  </sheets>
  <definedNames>
    <definedName name="_xlnm._FilterDatabase" localSheetId="0" hidden="1">'（居民）工资表-1月'!$A$3:$AT$21</definedName>
    <definedName name="_xlnm._FilterDatabase" localSheetId="2" hidden="1">'（居民）工资表-2月'!$A$3:$AT$5</definedName>
    <definedName name="_xlnm._FilterDatabase" localSheetId="4" hidden="1">'（居民）工资表-3月'!$A$3:$AT$5</definedName>
    <definedName name="_xlnm._FilterDatabase" localSheetId="5" hidden="1">'（居民）工资表-4月'!$A$3:$AT$5</definedName>
    <definedName name="_xlnm._FilterDatabase" localSheetId="6" hidden="1">'（居民）工资表-5月'!$A$3:$AT$24</definedName>
    <definedName name="_xlnm._FilterDatabase" localSheetId="7" hidden="1">'（居民）工资表-6月'!$A$3:$AT$24</definedName>
    <definedName name="_xlnm._FilterDatabase" localSheetId="8" hidden="1">'（居民）工资表-7月'!$A$3:$AT$24</definedName>
    <definedName name="_xlnm._FilterDatabase" localSheetId="9" hidden="1">'（居民）工资表-8月'!$A$3:$AT$24</definedName>
    <definedName name="_xlnm._FilterDatabase" localSheetId="10" hidden="1">'（居民）工资表-9月'!$A$3:$AT$24</definedName>
    <definedName name="_xlnm._FilterDatabase" localSheetId="11" hidden="1">'（居民）工资表-10月'!$A$3:$AT$24</definedName>
    <definedName name="_xlnm._FilterDatabase" localSheetId="12" hidden="1">'（居民）工资表-11月'!$A$3:$AT$24</definedName>
    <definedName name="_xlnm._FilterDatabase" localSheetId="13" hidden="1">'（居民）工资表-12月'!$A$3:$AT$24</definedName>
    <definedName name="_xlnm.Print_Area" localSheetId="11">'（居民）工资表-10月'!$A$1:$AT$30</definedName>
    <definedName name="_xlnm.Print_Area" localSheetId="12">'（居民）工资表-11月'!$A$1:$AT$30</definedName>
    <definedName name="_xlnm.Print_Area" localSheetId="13">'（居民）工资表-12月'!$A$1:$AT$30</definedName>
    <definedName name="_xlnm.Print_Area" localSheetId="0">'（居民）工资表-1月'!$A$1:$AT$27</definedName>
    <definedName name="_xlnm.Print_Area" localSheetId="2">'（居民）工资表-2月'!$A$1:$AT$11</definedName>
    <definedName name="_xlnm.Print_Area" localSheetId="4">'（居民）工资表-3月'!$A$1:$AT$11</definedName>
    <definedName name="_xlnm.Print_Area" localSheetId="5">'（居民）工资表-4月'!$A$1:$AT$11</definedName>
    <definedName name="_xlnm.Print_Area" localSheetId="6">'（居民）工资表-5月'!$A$1:$AT$30</definedName>
    <definedName name="_xlnm.Print_Area" localSheetId="7">'（居民）工资表-6月'!$A$1:$AT$30</definedName>
    <definedName name="_xlnm.Print_Area" localSheetId="8">'（居民）工资表-7月'!$A$1:$AT$30</definedName>
    <definedName name="_xlnm.Print_Area" localSheetId="9">'（居民）工资表-8月'!$A$1:$AT$30</definedName>
    <definedName name="_xlnm.Print_Area" localSheetId="10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<sst xmlns="http://schemas.openxmlformats.org/spreadsheetml/2006/main" count="1471" uniqueCount="188">
  <si>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</si>
  <si>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</si>
  <si>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</si>
  <si>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</si>
  <si>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</si>
  <si>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</si>
  <si>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</si>
  <si>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</si>
  <si>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</si>
  <si>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</si>
  <si>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</si>
  <si>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</si>
  <si>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</si>
  <si>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</si>
  <si>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</si>
  <si>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</si>
  <si>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</si>
  <si>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</si>
  <si>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</si>
  <si>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</si>
  <si>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</si>
  <si>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</si>
  <si>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</si>
  <si>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</si>
  <si>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</si>
  <si>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</si>
  <si>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</si>
  <si>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</si>
  <si>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</si>
  <si>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</si>
  <si>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</si>
  <si>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</si>
  <si>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</si>
  <si>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</si>
  <si>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</si>
  <si>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</si>
  <si>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</si>
  <si>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</si>
  <si>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</si>
  <si>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</si>
  <si>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</si>
  <si>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</si>
  <si>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</si>
  <si>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</si>
  <si>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</si>
  <si>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</si>
  <si>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</si>
  <si>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</si>
  <si>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</si>
  <si>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</si>
  <si>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622848 0018992539579</t>
  </si>
  <si>
    <t>中国农业银行北京永丰路支行</t>
  </si>
  <si>
    <t>农行</t>
  </si>
  <si>
    <t>身份证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</si>
  <si>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</si>
  <si>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</si>
  <si>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</si>
  <si>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</si>
  <si>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</si>
  <si>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</si>
  <si>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</si>
  <si>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</si>
  <si>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</si>
  <si>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</si>
  <si>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</si>
  <si>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</si>
  <si>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</si>
  <si>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</si>
  <si>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</t>
  </si>
  <si>
    <t>服务周期：</t>
  </si>
  <si>
    <r>
      <rPr>
        <b/>
        <sz val="11"/>
        <rFont val="宋体"/>
        <charset val="134"/>
      </rPr>
      <t>根据贵公司与我公司所签订的服务协议，请贵公司在</t>
    </r>
    <r>
      <rPr>
        <b/>
        <sz val="11"/>
        <color rgb="FFFF0000"/>
        <rFont val="宋体"/>
        <charset val="134"/>
      </rPr>
      <t>2021年4月9日</t>
    </r>
    <r>
      <rPr>
        <b/>
        <sz val="11"/>
        <rFont val="宋体"/>
        <charset val="134"/>
      </rPr>
      <t>之前按照下列表格内容支付相关款项.</t>
    </r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</si>
  <si>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</si>
  <si>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</si>
  <si>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</si>
  <si>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</si>
  <si>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</si>
  <si>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开户银行：广发银行股份有限公司北京双井支行</t>
  </si>
  <si>
    <t>本期款项合计：</t>
  </si>
  <si>
    <t>尾数调整：</t>
  </si>
  <si>
    <t>银行账号：137501516010000088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</si>
  <si>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</si>
  <si>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</si>
  <si>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</si>
  <si>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</si>
  <si>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</si>
  <si>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hhgggggggggggggggggggggggggggggghhhhhhhhhhhhhhhhhhhhhhhhhhhhhhhhhhhhhhhhhh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</si>
  <si>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</si>
  <si>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</si>
  <si>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</si>
  <si>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</si>
  <si>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</si>
  <si>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</si>
  <si>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</si>
  <si>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</si>
  <si>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</si>
  <si>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</si>
  <si>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</si>
  <si>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</si>
  <si>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</si>
  <si>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</si>
  <si>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</si>
  <si>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</si>
  <si>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菲利华</t>
  </si>
  <si>
    <t>谭江月</t>
  </si>
  <si>
    <t>500228199607193387</t>
  </si>
  <si>
    <t>客户名称</t>
  </si>
  <si>
    <t>缴费城市</t>
  </si>
  <si>
    <t>成本中心</t>
  </si>
  <si>
    <t>员工姓名</t>
  </si>
  <si>
    <t>身份证号码</t>
  </si>
  <si>
    <t>起缴月</t>
  </si>
  <si>
    <t>服务年月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</si>
  <si>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</si>
  <si>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</si>
  <si>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</si>
  <si>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</si>
  <si>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</si>
  <si>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</si>
  <si>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</si>
  <si>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</si>
  <si>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</si>
  <si>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</si>
  <si>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</si>
  <si>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</si>
  <si>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</si>
  <si>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</si>
  <si>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</si>
  <si>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</si>
  <si>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</si>
  <si>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</si>
  <si>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</si>
  <si>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</si>
  <si>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</si>
  <si>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</si>
  <si>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北京菲利华科技有限公司</t>
  </si>
  <si>
    <t>重庆</t>
  </si>
  <si>
    <t>1800</t>
  </si>
  <si>
    <t>重庆1月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</si>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</sst>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76" formatCode="[DBNum2][$-804]General"/>
    <numFmt numFmtId="177" formatCode="General\ &quot;年&quot;"/>
    <numFmt numFmtId="178" formatCode="0.00_ "/>
    <numFmt numFmtId="179" formatCode="0.00_);\(0.00\)"/>
    <numFmt numFmtId="180" formatCode="0_);[Red]\(0\)"/>
    <numFmt numFmtId="181" formatCode="#,##0.00_);[Red]\(#,##0.00\)"/>
    <numFmt numFmtId="42" formatCode="_ &quot;￥&quot;* #,##0_ ;_ &quot;￥&quot;* \-#,##0_ ;_ &quot;￥&quot;* &quot;-&quot;_ ;_ @_ "/>
    <numFmt numFmtId="41" formatCode="_ * #,##0_ ;_ * \-#,##0_ ;_ * &quot;-&quot;_ ;_ @_ "/>
    <numFmt numFmtId="182" formatCode="&quot;$&quot;0_ "/>
    <numFmt numFmtId="183" formatCode="#,##0_);[Red]\(#,##0\)"/>
    <numFmt numFmtId="44" formatCode="_ &quot;￥&quot;* #,##0.00_ ;_ &quot;￥&quot;* \-#,##0.00_ ;_ &quot;￥&quot;* &quot;-&quot;??_ ;_ @_ "/>
    <numFmt numFmtId="184" formatCode="0.00_);[Red]\(0.00\)"/>
    <numFmt numFmtId="185" formatCode="&quot;$&quot;#,##0_ ;[Red]\-&quot;$&quot;#,##0_ "/>
  </numFmts>
  <fonts count="10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0"/>
      <name val="Helv"/>
      <charset val="134"/>
    </font>
    <font>
      <b/>
      <sz val="13"/>
      <color indexed="56"/>
      <name val="宋体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4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1" fillId="40" borderId="43" applyNumberFormat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66" fillId="0" borderId="0">
      <alignment vertical="center"/>
    </xf>
    <xf numFmtId="0" fontId="61" fillId="0" borderId="37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3" fillId="0" borderId="0"/>
    <xf numFmtId="0" fontId="70" fillId="38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0" fillId="48" borderId="47" applyNumberFormat="0" applyFont="0" applyAlignment="0" applyProtection="0">
      <alignment vertical="center"/>
    </xf>
    <xf numFmtId="0" fontId="6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47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0" fillId="0" borderId="44" applyNumberFormat="0" applyFill="0" applyAlignment="0" applyProtection="0">
      <alignment vertical="center"/>
    </xf>
    <xf numFmtId="0" fontId="65" fillId="0" borderId="0"/>
    <xf numFmtId="0" fontId="89" fillId="0" borderId="44" applyNumberFormat="0" applyFill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84" fillId="0" borderId="48" applyNumberFormat="0" applyFill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87" fillId="39" borderId="46" applyNumberFormat="0" applyAlignment="0" applyProtection="0">
      <alignment vertical="center"/>
    </xf>
    <xf numFmtId="0" fontId="79" fillId="39" borderId="4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83" fillId="43" borderId="45" applyNumberFormat="0" applyAlignment="0" applyProtection="0">
      <alignment vertical="center"/>
    </xf>
    <xf numFmtId="0" fontId="63" fillId="0" borderId="0">
      <alignment vertical="center"/>
    </xf>
    <xf numFmtId="0" fontId="70" fillId="35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8" fillId="0" borderId="4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8" fillId="0" borderId="42" applyNumberFormat="0" applyFill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63" fillId="0" borderId="0">
      <alignment vertical="center"/>
    </xf>
    <xf numFmtId="0" fontId="62" fillId="13" borderId="38" applyNumberFormat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3" fillId="0" borderId="0"/>
    <xf numFmtId="0" fontId="73" fillId="30" borderId="41" applyNumberFormat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66" fillId="0" borderId="0"/>
    <xf numFmtId="0" fontId="6" fillId="27" borderId="0" applyNumberFormat="0" applyBorder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70" fillId="57" borderId="0" applyNumberFormat="0" applyBorder="0" applyAlignment="0" applyProtection="0">
      <alignment vertical="center"/>
    </xf>
    <xf numFmtId="0" fontId="67" fillId="58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70" fillId="59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70" fillId="6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7" fillId="50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70" fillId="61" borderId="0" applyNumberFormat="0" applyBorder="0" applyAlignment="0" applyProtection="0">
      <alignment vertical="center"/>
    </xf>
    <xf numFmtId="0" fontId="67" fillId="52" borderId="0" applyNumberFormat="0" applyBorder="0" applyAlignment="0" applyProtection="0">
      <alignment vertical="center"/>
    </xf>
    <xf numFmtId="0" fontId="66" fillId="0" borderId="0"/>
    <xf numFmtId="0" fontId="77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6" fillId="0" borderId="0"/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3" fillId="0" borderId="0">
      <alignment vertical="center"/>
    </xf>
    <xf numFmtId="0" fontId="75" fillId="28" borderId="0" applyNumberFormat="0" applyBorder="0" applyAlignment="0" applyProtection="0">
      <alignment vertical="center"/>
    </xf>
    <xf numFmtId="0" fontId="66" fillId="0" borderId="0"/>
    <xf numFmtId="0" fontId="6" fillId="31" borderId="0" applyNumberFormat="0" applyBorder="0" applyAlignment="0" applyProtection="0">
      <alignment vertical="center"/>
    </xf>
    <xf numFmtId="0" fontId="63" fillId="0" borderId="0"/>
    <xf numFmtId="0" fontId="59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/>
    <xf numFmtId="0" fontId="6" fillId="28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2" fillId="13" borderId="3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2" fillId="13" borderId="3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6" fillId="23" borderId="36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2" fillId="13" borderId="3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0" fillId="0" borderId="0"/>
    <xf numFmtId="0" fontId="6" fillId="20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3" fillId="0" borderId="0"/>
    <xf numFmtId="0" fontId="62" fillId="13" borderId="3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73" fillId="30" borderId="4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73" fillId="30" borderId="4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76" fillId="23" borderId="3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6" fillId="23" borderId="3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0" fillId="13" borderId="36" applyNumberFormat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35" applyNumberFormat="0" applyFont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63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3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178" fontId="6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75" fillId="28" borderId="0" applyNumberFormat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93" fillId="0" borderId="49" applyNumberFormat="0" applyFill="0" applyAlignment="0" applyProtection="0">
      <alignment vertical="center"/>
    </xf>
    <xf numFmtId="0" fontId="93" fillId="0" borderId="49" applyNumberFormat="0" applyFill="0" applyAlignment="0" applyProtection="0">
      <alignment vertical="center"/>
    </xf>
    <xf numFmtId="0" fontId="93" fillId="0" borderId="49" applyNumberFormat="0" applyFill="0" applyAlignment="0" applyProtection="0">
      <alignment vertical="center"/>
    </xf>
    <xf numFmtId="0" fontId="93" fillId="0" borderId="49" applyNumberFormat="0" applyFill="0" applyAlignment="0" applyProtection="0">
      <alignment vertical="center"/>
    </xf>
    <xf numFmtId="0" fontId="93" fillId="0" borderId="49" applyNumberFormat="0" applyFill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93" fillId="0" borderId="49" applyNumberFormat="0" applyFill="0" applyAlignment="0" applyProtection="0">
      <alignment vertical="center"/>
    </xf>
    <xf numFmtId="0" fontId="93" fillId="0" borderId="49" applyNumberFormat="0" applyFill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6" fillId="0" borderId="0">
      <alignment vertical="center"/>
    </xf>
    <xf numFmtId="0" fontId="98" fillId="0" borderId="51" applyNumberFormat="0" applyFill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77" fillId="0" borderId="50" applyNumberFormat="0" applyFill="0" applyAlignment="0" applyProtection="0">
      <alignment vertical="center"/>
    </xf>
    <xf numFmtId="0" fontId="77" fillId="0" borderId="50" applyNumberFormat="0" applyFill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7" fillId="0" borderId="50" applyNumberFormat="0" applyFill="0" applyAlignment="0" applyProtection="0">
      <alignment vertical="center"/>
    </xf>
    <xf numFmtId="0" fontId="77" fillId="0" borderId="50" applyNumberFormat="0" applyFill="0" applyAlignment="0" applyProtection="0">
      <alignment vertical="center"/>
    </xf>
    <xf numFmtId="0" fontId="77" fillId="0" borderId="50" applyNumberFormat="0" applyFill="0" applyAlignment="0" applyProtection="0">
      <alignment vertical="center"/>
    </xf>
    <xf numFmtId="0" fontId="97" fillId="0" borderId="0"/>
    <xf numFmtId="0" fontId="77" fillId="0" borderId="50" applyNumberFormat="0" applyFill="0" applyAlignment="0" applyProtection="0">
      <alignment vertical="center"/>
    </xf>
    <xf numFmtId="0" fontId="77" fillId="0" borderId="50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3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>
      <alignment vertical="center"/>
    </xf>
    <xf numFmtId="0" fontId="6" fillId="0" borderId="0">
      <alignment vertical="center"/>
    </xf>
    <xf numFmtId="0" fontId="59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96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76" fillId="23" borderId="36" applyNumberFormat="0" applyAlignment="0" applyProtection="0">
      <alignment vertical="center"/>
    </xf>
    <xf numFmtId="0" fontId="63" fillId="0" borderId="0">
      <alignment vertical="center"/>
    </xf>
    <xf numFmtId="0" fontId="76" fillId="23" borderId="3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76" fillId="23" borderId="3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6" fillId="0" borderId="0"/>
    <xf numFmtId="0" fontId="59" fillId="16" borderId="0" applyNumberFormat="0" applyBorder="0" applyAlignment="0" applyProtection="0">
      <alignment vertical="center"/>
    </xf>
    <xf numFmtId="0" fontId="63" fillId="0" borderId="0"/>
    <xf numFmtId="0" fontId="59" fillId="16" borderId="0" applyNumberFormat="0" applyBorder="0" applyAlignment="0" applyProtection="0">
      <alignment vertical="center"/>
    </xf>
    <xf numFmtId="0" fontId="63" fillId="0" borderId="0"/>
    <xf numFmtId="0" fontId="59" fillId="16" borderId="0" applyNumberFormat="0" applyBorder="0" applyAlignment="0" applyProtection="0">
      <alignment vertical="center"/>
    </xf>
    <xf numFmtId="0" fontId="63" fillId="0" borderId="0"/>
    <xf numFmtId="0" fontId="6" fillId="0" borderId="0">
      <alignment vertical="center"/>
    </xf>
    <xf numFmtId="0" fontId="6" fillId="0" borderId="0">
      <alignment vertical="center"/>
    </xf>
    <xf numFmtId="0" fontId="72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63" fillId="0" borderId="0"/>
    <xf numFmtId="0" fontId="63" fillId="0" borderId="0"/>
    <xf numFmtId="0" fontId="6" fillId="0" borderId="0">
      <alignment vertical="center"/>
    </xf>
    <xf numFmtId="0" fontId="76" fillId="23" borderId="36" applyNumberFormat="0" applyAlignment="0" applyProtection="0">
      <alignment vertical="center"/>
    </xf>
    <xf numFmtId="0" fontId="63" fillId="0" borderId="0"/>
    <xf numFmtId="0" fontId="66" fillId="0" borderId="0">
      <alignment vertical="center"/>
    </xf>
    <xf numFmtId="0" fontId="59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97" fillId="0" borderId="0"/>
    <xf numFmtId="0" fontId="88" fillId="0" borderId="0" applyNumberFormat="0" applyFill="0" applyBorder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73" fillId="30" borderId="41" applyNumberFormat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73" fillId="30" borderId="41" applyNumberFormat="0" applyAlignment="0" applyProtection="0">
      <alignment vertical="center"/>
    </xf>
    <xf numFmtId="0" fontId="73" fillId="30" borderId="41" applyNumberFormat="0" applyAlignment="0" applyProtection="0">
      <alignment vertical="center"/>
    </xf>
    <xf numFmtId="0" fontId="73" fillId="30" borderId="41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76" fillId="23" borderId="36" applyNumberFormat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6" fillId="23" borderId="36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76" fontId="63" fillId="0" borderId="0"/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176" fontId="0" fillId="0" borderId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76" fillId="23" borderId="36" applyNumberFormat="0" applyAlignment="0" applyProtection="0">
      <alignment vertical="center"/>
    </xf>
    <xf numFmtId="0" fontId="65" fillId="0" borderId="0"/>
    <xf numFmtId="0" fontId="76" fillId="23" borderId="36" applyNumberFormat="0" applyAlignment="0" applyProtection="0">
      <alignment vertical="center"/>
    </xf>
    <xf numFmtId="0" fontId="65" fillId="0" borderId="0"/>
    <xf numFmtId="0" fontId="76" fillId="23" borderId="36" applyNumberFormat="0" applyAlignment="0" applyProtection="0">
      <alignment vertical="center"/>
    </xf>
    <xf numFmtId="0" fontId="76" fillId="23" borderId="36" applyNumberFormat="0" applyAlignment="0" applyProtection="0">
      <alignment vertical="center"/>
    </xf>
    <xf numFmtId="0" fontId="76" fillId="23" borderId="36" applyNumberFormat="0" applyAlignment="0" applyProtection="0">
      <alignment vertical="center"/>
    </xf>
    <xf numFmtId="0" fontId="99" fillId="0" borderId="0"/>
    <xf numFmtId="0" fontId="66" fillId="0" borderId="0"/>
    <xf numFmtId="0" fontId="65" fillId="0" borderId="0"/>
    <xf numFmtId="0" fontId="65" fillId="0" borderId="0"/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0" fontId="6" fillId="12" borderId="35" applyNumberFormat="0" applyFont="0" applyAlignment="0" applyProtection="0">
      <alignment vertical="center"/>
    </xf>
    <xf numFmtId="176" fontId="0" fillId="0" borderId="0">
      <alignment vertical="center"/>
    </xf>
    <xf numFmtId="176" fontId="63" fillId="0" borderId="0" applyBorder="0"/>
    <xf numFmtId="176" fontId="100" fillId="0" borderId="0" applyNumberFormat="0" applyFill="0" applyBorder="0" applyAlignment="0" applyProtection="0">
      <alignment vertical="center"/>
    </xf>
    <xf numFmtId="176" fontId="63" fillId="0" borderId="0"/>
    <xf numFmtId="38" fontId="63" fillId="0" borderId="0" applyFont="0" applyFill="0" applyBorder="0" applyAlignment="0" applyProtection="0">
      <alignment vertical="center"/>
    </xf>
    <xf numFmtId="176" fontId="37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9" applyBorder="1">
      <alignment vertical="center"/>
    </xf>
    <xf numFmtId="0" fontId="7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Fill="1">
      <alignment vertical="center"/>
    </xf>
    <xf numFmtId="0" fontId="6" fillId="0" borderId="0" xfId="309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9">
      <alignment vertical="center"/>
    </xf>
    <xf numFmtId="0" fontId="6" fillId="0" borderId="0" xfId="309" applyNumberFormat="1">
      <alignment vertical="center"/>
    </xf>
    <xf numFmtId="0" fontId="6" fillId="0" borderId="0" xfId="309" applyNumberFormat="1" applyAlignment="1">
      <alignment horizontal="center" vertical="center"/>
    </xf>
    <xf numFmtId="14" fontId="6" fillId="0" borderId="0" xfId="309" applyNumberFormat="1">
      <alignment vertical="center"/>
    </xf>
    <xf numFmtId="184" fontId="6" fillId="0" borderId="0" xfId="309" applyNumberFormat="1">
      <alignment vertical="center"/>
    </xf>
    <xf numFmtId="183" fontId="8" fillId="0" borderId="0" xfId="110" applyNumberFormat="1" applyFont="1" applyFill="1" applyBorder="1" applyAlignment="1" applyProtection="1">
      <alignment vertical="center"/>
    </xf>
    <xf numFmtId="183" fontId="9" fillId="0" borderId="0" xfId="110" applyNumberFormat="1" applyFont="1" applyFill="1" applyBorder="1" applyAlignment="1" applyProtection="1">
      <alignment vertical="center"/>
    </xf>
    <xf numFmtId="183" fontId="10" fillId="0" borderId="0" xfId="110" applyNumberFormat="1" applyFont="1" applyFill="1" applyBorder="1" applyAlignment="1" applyProtection="1">
      <alignment vertical="center"/>
    </xf>
    <xf numFmtId="183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NumberFormat="1" applyBorder="1" applyAlignment="1">
      <alignment horizontal="center" vertical="center"/>
    </xf>
    <xf numFmtId="183" fontId="11" fillId="3" borderId="5" xfId="110" applyNumberFormat="1" applyFont="1" applyFill="1" applyBorder="1" applyAlignment="1" applyProtection="1">
      <alignment horizontal="center" vertical="center"/>
    </xf>
    <xf numFmtId="183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398" applyNumberFormat="1" applyFont="1" applyFill="1" applyBorder="1" applyAlignment="1" applyProtection="1">
      <alignment horizontal="center" vertical="center" wrapText="1"/>
    </xf>
    <xf numFmtId="0" fontId="13" fillId="3" borderId="5" xfId="398" applyNumberFormat="1" applyFont="1" applyFill="1" applyBorder="1" applyAlignment="1" applyProtection="1">
      <alignment horizontal="center" vertical="center" wrapText="1"/>
    </xf>
    <xf numFmtId="183" fontId="11" fillId="3" borderId="6" xfId="110" applyNumberFormat="1" applyFont="1" applyFill="1" applyBorder="1" applyAlignment="1" applyProtection="1">
      <alignment horizontal="center" vertical="center"/>
    </xf>
    <xf numFmtId="183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398" applyNumberFormat="1" applyFont="1" applyFill="1" applyBorder="1" applyAlignment="1" applyProtection="1">
      <alignment horizontal="center" vertical="center" wrapText="1"/>
    </xf>
    <xf numFmtId="0" fontId="13" fillId="3" borderId="6" xfId="398" applyNumberFormat="1" applyFont="1" applyFill="1" applyBorder="1" applyAlignment="1" applyProtection="1">
      <alignment horizontal="center" vertical="center" wrapText="1"/>
    </xf>
    <xf numFmtId="183" fontId="14" fillId="0" borderId="6" xfId="309" applyNumberFormat="1" applyFont="1" applyFill="1" applyBorder="1" applyAlignment="1" applyProtection="1">
      <alignment horizontal="center" vertical="center"/>
    </xf>
    <xf numFmtId="0" fontId="15" fillId="0" borderId="7" xfId="309" applyFont="1" applyFill="1" applyBorder="1" applyAlignment="1">
      <alignment horizontal="center" vertical="center" wrapText="1"/>
    </xf>
    <xf numFmtId="49" fontId="16" fillId="4" borderId="8" xfId="309" applyNumberFormat="1" applyFont="1" applyFill="1" applyBorder="1" applyAlignment="1">
      <alignment horizontal="center" vertical="center" wrapText="1"/>
    </xf>
    <xf numFmtId="0" fontId="6" fillId="0" borderId="7" xfId="309" applyNumberFormat="1" applyFill="1" applyBorder="1" applyAlignment="1">
      <alignment horizontal="center" vertical="center"/>
    </xf>
    <xf numFmtId="0" fontId="6" fillId="0" borderId="8" xfId="309" applyFill="1" applyBorder="1">
      <alignment vertical="center"/>
    </xf>
    <xf numFmtId="183" fontId="14" fillId="4" borderId="6" xfId="309" applyNumberFormat="1" applyFont="1" applyFill="1" applyBorder="1" applyAlignment="1" applyProtection="1">
      <alignment horizontal="center" vertical="center" shrinkToFit="1"/>
    </xf>
    <xf numFmtId="183" fontId="17" fillId="4" borderId="7" xfId="309" applyNumberFormat="1" applyFont="1" applyFill="1" applyBorder="1" applyAlignment="1" applyProtection="1">
      <alignment horizontal="center" vertical="center" shrinkToFit="1"/>
    </xf>
    <xf numFmtId="183" fontId="17" fillId="4" borderId="7" xfId="309" applyNumberFormat="1" applyFont="1" applyFill="1" applyBorder="1" applyAlignment="1" applyProtection="1">
      <alignment horizontal="center" vertical="top" shrinkToFit="1"/>
    </xf>
    <xf numFmtId="0" fontId="16" fillId="4" borderId="7" xfId="309" applyNumberFormat="1" applyFont="1" applyFill="1" applyBorder="1" applyAlignment="1">
      <alignment horizontal="center" vertical="center" shrinkToFit="1"/>
    </xf>
    <xf numFmtId="0" fontId="6" fillId="4" borderId="7" xfId="309" applyNumberFormat="1" applyFont="1" applyFill="1" applyBorder="1" applyAlignment="1" applyProtection="1">
      <alignment horizontal="center" vertical="center" shrinkToFit="1"/>
    </xf>
    <xf numFmtId="0" fontId="6" fillId="4" borderId="7" xfId="309" applyNumberFormat="1" applyFill="1" applyBorder="1" applyAlignment="1">
      <alignment horizontal="center" vertical="center" shrinkToFit="1"/>
    </xf>
    <xf numFmtId="0" fontId="6" fillId="3" borderId="7" xfId="309" applyFont="1" applyFill="1" applyBorder="1" applyAlignment="1">
      <alignment horizontal="center" vertical="center"/>
    </xf>
    <xf numFmtId="184" fontId="6" fillId="4" borderId="7" xfId="309" applyNumberFormat="1" applyFont="1" applyFill="1" applyBorder="1" applyAlignment="1">
      <alignment horizontal="center" vertical="center"/>
    </xf>
    <xf numFmtId="181" fontId="6" fillId="0" borderId="0" xfId="309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9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9" applyNumberFormat="1" applyBorder="1">
      <alignment vertical="center"/>
    </xf>
    <xf numFmtId="183" fontId="10" fillId="0" borderId="0" xfId="110" applyNumberFormat="1" applyFont="1" applyFill="1" applyBorder="1" applyAlignment="1" applyProtection="1">
      <alignment horizontal="center" vertical="center"/>
    </xf>
    <xf numFmtId="178" fontId="24" fillId="5" borderId="0" xfId="309" applyNumberFormat="1" applyFont="1" applyFill="1" applyBorder="1" applyAlignment="1">
      <alignment horizontal="center" vertical="center"/>
    </xf>
    <xf numFmtId="14" fontId="12" fillId="3" borderId="5" xfId="398" applyNumberFormat="1" applyFont="1" applyFill="1" applyBorder="1" applyAlignment="1" applyProtection="1">
      <alignment horizontal="center" vertical="center" wrapText="1"/>
    </xf>
    <xf numFmtId="0" fontId="12" fillId="3" borderId="8" xfId="398" applyNumberFormat="1" applyFont="1" applyFill="1" applyBorder="1" applyAlignment="1" applyProtection="1">
      <alignment horizontal="center" vertical="center" wrapText="1"/>
    </xf>
    <xf numFmtId="0" fontId="12" fillId="3" borderId="9" xfId="398" applyNumberFormat="1" applyFont="1" applyFill="1" applyBorder="1" applyAlignment="1" applyProtection="1">
      <alignment horizontal="center" vertical="center" wrapText="1"/>
    </xf>
    <xf numFmtId="0" fontId="12" fillId="3" borderId="10" xfId="398" applyNumberFormat="1" applyFont="1" applyFill="1" applyBorder="1" applyAlignment="1" applyProtection="1">
      <alignment horizontal="center" vertical="center" wrapText="1"/>
    </xf>
    <xf numFmtId="14" fontId="12" fillId="3" borderId="6" xfId="398" applyNumberFormat="1" applyFont="1" applyFill="1" applyBorder="1" applyAlignment="1" applyProtection="1">
      <alignment horizontal="center" vertical="center" wrapText="1"/>
    </xf>
    <xf numFmtId="0" fontId="12" fillId="3" borderId="7" xfId="398" applyNumberFormat="1" applyFont="1" applyFill="1" applyBorder="1" applyAlignment="1" applyProtection="1">
      <alignment horizontal="center" vertical="center" wrapText="1"/>
    </xf>
    <xf numFmtId="14" fontId="6" fillId="0" borderId="8" xfId="309" applyNumberFormat="1" applyFill="1" applyBorder="1">
      <alignment vertical="center"/>
    </xf>
    <xf numFmtId="178" fontId="14" fillId="0" borderId="7" xfId="309" applyNumberFormat="1" applyFont="1" applyFill="1" applyBorder="1">
      <alignment vertical="center"/>
    </xf>
    <xf numFmtId="178" fontId="14" fillId="0" borderId="7" xfId="309" applyNumberFormat="1" applyFont="1" applyFill="1" applyBorder="1" applyAlignment="1">
      <alignment horizontal="center" vertical="center"/>
    </xf>
    <xf numFmtId="0" fontId="6" fillId="4" borderId="8" xfId="309" applyNumberFormat="1" applyFont="1" applyFill="1" applyBorder="1" applyAlignment="1" applyProtection="1">
      <alignment horizontal="center" vertical="center" shrinkToFit="1"/>
    </xf>
    <xf numFmtId="14" fontId="6" fillId="4" borderId="8" xfId="309" applyNumberFormat="1" applyFont="1" applyFill="1" applyBorder="1" applyAlignment="1" applyProtection="1">
      <alignment horizontal="center" vertical="center" shrinkToFit="1"/>
    </xf>
    <xf numFmtId="181" fontId="17" fillId="4" borderId="7" xfId="309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0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8" fontId="0" fillId="0" borderId="0" xfId="309" applyNumberFormat="1" applyFont="1" applyFill="1" applyBorder="1" applyAlignment="1">
      <alignment horizontal="left" vertical="center"/>
    </xf>
    <xf numFmtId="184" fontId="13" fillId="3" borderId="5" xfId="398" applyNumberFormat="1" applyFont="1" applyFill="1" applyBorder="1" applyAlignment="1" applyProtection="1">
      <alignment horizontal="center" vertical="center" wrapText="1"/>
    </xf>
    <xf numFmtId="0" fontId="13" fillId="3" borderId="8" xfId="398" applyNumberFormat="1" applyFont="1" applyFill="1" applyBorder="1" applyAlignment="1" applyProtection="1">
      <alignment horizontal="center" vertical="center" wrapText="1"/>
    </xf>
    <xf numFmtId="0" fontId="13" fillId="3" borderId="9" xfId="398" applyNumberFormat="1" applyFont="1" applyFill="1" applyBorder="1" applyAlignment="1" applyProtection="1">
      <alignment horizontal="center" vertical="center" wrapText="1"/>
    </xf>
    <xf numFmtId="184" fontId="13" fillId="3" borderId="6" xfId="398" applyNumberFormat="1" applyFont="1" applyFill="1" applyBorder="1" applyAlignment="1" applyProtection="1">
      <alignment horizontal="center" vertical="center" wrapText="1"/>
    </xf>
    <xf numFmtId="0" fontId="13" fillId="3" borderId="7" xfId="398" applyNumberFormat="1" applyFont="1" applyFill="1" applyBorder="1" applyAlignment="1" applyProtection="1">
      <alignment horizontal="center" vertical="center" wrapText="1"/>
    </xf>
    <xf numFmtId="178" fontId="14" fillId="4" borderId="7" xfId="309" applyNumberFormat="1" applyFont="1" applyFill="1" applyBorder="1">
      <alignment vertical="center"/>
    </xf>
    <xf numFmtId="178" fontId="14" fillId="4" borderId="10" xfId="309" applyNumberFormat="1" applyFont="1" applyFill="1" applyBorder="1" applyAlignment="1">
      <alignment horizontal="center" vertical="center"/>
    </xf>
    <xf numFmtId="178" fontId="14" fillId="4" borderId="10" xfId="309" applyNumberFormat="1" applyFont="1" applyFill="1" applyBorder="1">
      <alignment vertical="center"/>
    </xf>
    <xf numFmtId="0" fontId="13" fillId="3" borderId="10" xfId="398" applyNumberFormat="1" applyFont="1" applyFill="1" applyBorder="1" applyAlignment="1" applyProtection="1">
      <alignment horizontal="center" vertical="center" wrapText="1"/>
    </xf>
    <xf numFmtId="181" fontId="14" fillId="4" borderId="10" xfId="309" applyNumberFormat="1" applyFont="1" applyFill="1" applyBorder="1" applyAlignment="1" applyProtection="1">
      <alignment horizontal="center" vertical="center"/>
    </xf>
    <xf numFmtId="184" fontId="20" fillId="4" borderId="7" xfId="290" applyNumberFormat="1" applyFont="1" applyFill="1" applyBorder="1" applyAlignment="1" applyProtection="1">
      <alignment horizontal="center" vertical="center"/>
    </xf>
    <xf numFmtId="184" fontId="25" fillId="4" borderId="7" xfId="398" applyNumberFormat="1" applyFont="1" applyFill="1" applyBorder="1" applyAlignment="1" applyProtection="1">
      <alignment horizontal="center" vertical="center"/>
    </xf>
    <xf numFmtId="181" fontId="14" fillId="0" borderId="0" xfId="309" applyNumberFormat="1" applyFont="1" applyFill="1" applyBorder="1" applyAlignment="1" applyProtection="1">
      <alignment horizontal="center" vertical="center"/>
    </xf>
    <xf numFmtId="184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84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84" fontId="8" fillId="3" borderId="6" xfId="110" applyNumberFormat="1" applyFont="1" applyFill="1" applyBorder="1" applyAlignment="1" applyProtection="1">
      <alignment horizontal="center" vertical="center" wrapText="1"/>
    </xf>
    <xf numFmtId="181" fontId="14" fillId="4" borderId="7" xfId="309" applyNumberFormat="1" applyFont="1" applyFill="1" applyBorder="1" applyAlignment="1" applyProtection="1">
      <alignment horizontal="center" vertical="center"/>
    </xf>
    <xf numFmtId="184" fontId="16" fillId="0" borderId="7" xfId="309" applyNumberFormat="1" applyFont="1" applyFill="1" applyBorder="1" applyAlignment="1">
      <alignment horizontal="center" vertical="center" wrapText="1"/>
    </xf>
    <xf numFmtId="181" fontId="14" fillId="0" borderId="7" xfId="309" applyNumberFormat="1" applyFont="1" applyFill="1" applyBorder="1" applyAlignment="1" applyProtection="1">
      <alignment horizontal="center" vertical="center"/>
    </xf>
    <xf numFmtId="184" fontId="17" fillId="4" borderId="7" xfId="309" applyNumberFormat="1" applyFont="1" applyFill="1" applyBorder="1" applyAlignment="1" applyProtection="1">
      <alignment horizontal="center" vertical="center" shrinkToFit="1"/>
    </xf>
    <xf numFmtId="181" fontId="14" fillId="4" borderId="7" xfId="309" applyNumberFormat="1" applyFont="1" applyFill="1" applyBorder="1" applyAlignment="1" applyProtection="1">
      <alignment horizontal="center" vertical="center" shrinkToFit="1"/>
    </xf>
    <xf numFmtId="184" fontId="6" fillId="0" borderId="0" xfId="0" applyNumberFormat="1" applyFont="1" applyFill="1" applyBorder="1" applyAlignment="1" applyProtection="1">
      <alignment vertical="center"/>
    </xf>
    <xf numFmtId="49" fontId="6" fillId="0" borderId="0" xfId="309" applyNumberFormat="1" applyFont="1" applyFill="1" applyBorder="1" applyAlignment="1" applyProtection="1">
      <alignment horizontal="center" vertical="center"/>
    </xf>
    <xf numFmtId="49" fontId="12" fillId="3" borderId="5" xfId="398" applyNumberFormat="1" applyFont="1" applyFill="1" applyBorder="1" applyAlignment="1" applyProtection="1">
      <alignment horizontal="center" vertical="center" wrapText="1"/>
    </xf>
    <xf numFmtId="49" fontId="12" fillId="3" borderId="6" xfId="398" applyNumberFormat="1" applyFont="1" applyFill="1" applyBorder="1" applyAlignment="1" applyProtection="1">
      <alignment horizontal="center" vertical="center" wrapText="1"/>
    </xf>
    <xf numFmtId="0" fontId="25" fillId="4" borderId="7" xfId="309" applyFont="1" applyFill="1" applyBorder="1" applyAlignment="1">
      <alignment horizontal="center" vertical="center"/>
    </xf>
    <xf numFmtId="0" fontId="25" fillId="4" borderId="7" xfId="309" applyFont="1" applyFill="1" applyBorder="1" applyAlignment="1">
      <alignment horizontal="center" vertical="center" shrinkToFit="1"/>
    </xf>
    <xf numFmtId="181" fontId="6" fillId="0" borderId="0" xfId="309" applyNumberFormat="1">
      <alignment vertical="center"/>
    </xf>
    <xf numFmtId="176" fontId="26" fillId="0" borderId="0" xfId="486" applyFont="1" applyFill="1" applyBorder="1" applyAlignment="1">
      <alignment horizontal="center" vertical="center" wrapText="1"/>
    </xf>
    <xf numFmtId="176" fontId="27" fillId="0" borderId="0" xfId="486" applyFont="1" applyFill="1" applyBorder="1" applyAlignment="1">
      <alignment horizontal="center" vertical="center" wrapText="1"/>
    </xf>
    <xf numFmtId="176" fontId="28" fillId="0" borderId="0" xfId="486" applyFont="1" applyFill="1" applyBorder="1" applyAlignment="1">
      <alignment horizontal="center" vertical="center" wrapText="1"/>
    </xf>
    <xf numFmtId="176" fontId="0" fillId="0" borderId="0" xfId="486" applyFill="1" applyBorder="1" applyAlignment="1">
      <alignment vertical="center" wrapText="1"/>
    </xf>
    <xf numFmtId="0" fontId="0" fillId="0" borderId="0" xfId="486" applyNumberFormat="1" applyFill="1" applyBorder="1" applyAlignment="1">
      <alignment vertical="center" wrapText="1"/>
    </xf>
    <xf numFmtId="0" fontId="29" fillId="6" borderId="7" xfId="486" applyNumberFormat="1" applyFont="1" applyFill="1" applyBorder="1" applyAlignment="1">
      <alignment horizontal="center" vertical="center" wrapText="1"/>
    </xf>
    <xf numFmtId="0" fontId="29" fillId="0" borderId="7" xfId="486" applyNumberFormat="1" applyFont="1" applyFill="1" applyBorder="1" applyAlignment="1">
      <alignment horizontal="center" vertical="center" wrapText="1"/>
    </xf>
    <xf numFmtId="0" fontId="26" fillId="0" borderId="7" xfId="486" applyNumberFormat="1" applyFont="1" applyFill="1" applyBorder="1" applyAlignment="1">
      <alignment horizontal="center" vertical="center" wrapText="1"/>
    </xf>
    <xf numFmtId="0" fontId="30" fillId="0" borderId="7" xfId="486" applyNumberFormat="1" applyFont="1" applyFill="1" applyBorder="1" applyAlignment="1">
      <alignment horizontal="center" vertical="center" wrapText="1"/>
    </xf>
    <xf numFmtId="49" fontId="30" fillId="7" borderId="7" xfId="397" applyNumberFormat="1" applyFont="1" applyFill="1" applyBorder="1" applyAlignment="1" applyProtection="1">
      <alignment horizontal="center" vertical="center"/>
    </xf>
    <xf numFmtId="49" fontId="30" fillId="7" borderId="7" xfId="397" applyNumberFormat="1" applyFont="1" applyFill="1" applyBorder="1" applyAlignment="1" applyProtection="1">
      <alignment horizontal="center" vertical="center" wrapText="1"/>
    </xf>
    <xf numFmtId="0" fontId="26" fillId="8" borderId="7" xfId="486" applyNumberFormat="1" applyFont="1" applyFill="1" applyBorder="1" applyAlignment="1">
      <alignment horizontal="center" vertical="center" wrapText="1"/>
    </xf>
    <xf numFmtId="0" fontId="27" fillId="0" borderId="7" xfId="486" applyNumberFormat="1" applyFont="1" applyFill="1" applyBorder="1" applyAlignment="1">
      <alignment horizontal="center" vertical="center" wrapText="1"/>
    </xf>
    <xf numFmtId="49" fontId="27" fillId="7" borderId="7" xfId="397" applyNumberFormat="1" applyFont="1" applyFill="1" applyBorder="1" applyAlignment="1" applyProtection="1">
      <alignment horizontal="center" vertical="center"/>
    </xf>
    <xf numFmtId="49" fontId="27" fillId="7" borderId="7" xfId="397" applyNumberFormat="1" applyFont="1" applyFill="1" applyBorder="1" applyAlignment="1" applyProtection="1">
      <alignment horizontal="center" vertical="center" wrapText="1"/>
    </xf>
    <xf numFmtId="0" fontId="27" fillId="8" borderId="7" xfId="486" applyNumberFormat="1" applyFont="1" applyFill="1" applyBorder="1" applyAlignment="1">
      <alignment horizontal="center" vertical="center" wrapText="1"/>
    </xf>
    <xf numFmtId="176" fontId="28" fillId="0" borderId="8" xfId="486" applyFont="1" applyFill="1" applyBorder="1" applyAlignment="1">
      <alignment horizontal="center" vertical="center" wrapText="1"/>
    </xf>
    <xf numFmtId="176" fontId="28" fillId="0" borderId="9" xfId="486" applyFont="1" applyFill="1" applyBorder="1" applyAlignment="1">
      <alignment horizontal="center" vertical="center" wrapText="1"/>
    </xf>
    <xf numFmtId="184" fontId="29" fillId="6" borderId="7" xfId="486" applyNumberFormat="1" applyFont="1" applyFill="1" applyBorder="1" applyAlignment="1">
      <alignment horizontal="center" vertical="center" wrapText="1"/>
    </xf>
    <xf numFmtId="10" fontId="29" fillId="6" borderId="7" xfId="492" applyNumberFormat="1" applyFont="1" applyFill="1" applyBorder="1" applyAlignment="1">
      <alignment horizontal="center" vertical="center" wrapText="1"/>
    </xf>
    <xf numFmtId="184" fontId="26" fillId="0" borderId="7" xfId="486" applyNumberFormat="1" applyFont="1" applyFill="1" applyBorder="1" applyAlignment="1">
      <alignment horizontal="center" vertical="center" wrapText="1"/>
    </xf>
    <xf numFmtId="10" fontId="26" fillId="0" borderId="7" xfId="492" applyNumberFormat="1" applyFont="1" applyBorder="1" applyAlignment="1">
      <alignment horizontal="center" vertical="center" wrapText="1"/>
    </xf>
    <xf numFmtId="184" fontId="30" fillId="0" borderId="7" xfId="486" applyNumberFormat="1" applyFont="1" applyFill="1" applyBorder="1" applyAlignment="1">
      <alignment horizontal="center" vertical="center" wrapText="1"/>
    </xf>
    <xf numFmtId="184" fontId="27" fillId="0" borderId="7" xfId="486" applyNumberFormat="1" applyFont="1" applyFill="1" applyBorder="1" applyAlignment="1">
      <alignment horizontal="center" vertical="center" wrapText="1"/>
    </xf>
    <xf numFmtId="10" fontId="27" fillId="0" borderId="7" xfId="492" applyNumberFormat="1" applyFont="1" applyBorder="1" applyAlignment="1">
      <alignment horizontal="center" vertical="center" wrapText="1"/>
    </xf>
    <xf numFmtId="184" fontId="29" fillId="0" borderId="7" xfId="486" applyNumberFormat="1" applyFont="1" applyFill="1" applyBorder="1" applyAlignment="1">
      <alignment horizontal="center" vertical="center" wrapText="1"/>
    </xf>
    <xf numFmtId="184" fontId="28" fillId="0" borderId="7" xfId="486" applyNumberFormat="1" applyFont="1" applyFill="1" applyBorder="1" applyAlignment="1">
      <alignment horizontal="center" vertical="center" wrapText="1"/>
    </xf>
    <xf numFmtId="184" fontId="29" fillId="6" borderId="7" xfId="492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vertical="center"/>
    </xf>
    <xf numFmtId="0" fontId="32" fillId="0" borderId="7" xfId="0" applyFont="1" applyFill="1" applyBorder="1" applyAlignment="1">
      <alignment vertical="center"/>
    </xf>
    <xf numFmtId="0" fontId="26" fillId="0" borderId="0" xfId="486" applyNumberFormat="1" applyFont="1" applyFill="1" applyBorder="1" applyAlignment="1">
      <alignment horizontal="center" vertical="center" wrapText="1"/>
    </xf>
    <xf numFmtId="184" fontId="26" fillId="0" borderId="0" xfId="486" applyNumberFormat="1" applyFont="1" applyFill="1" applyBorder="1" applyAlignment="1">
      <alignment horizontal="center" vertical="center" wrapText="1"/>
    </xf>
    <xf numFmtId="0" fontId="27" fillId="0" borderId="0" xfId="486" applyNumberFormat="1" applyFont="1" applyFill="1" applyBorder="1" applyAlignment="1">
      <alignment horizontal="center" vertical="center" wrapText="1"/>
    </xf>
    <xf numFmtId="184" fontId="27" fillId="0" borderId="0" xfId="486" applyNumberFormat="1" applyFont="1" applyFill="1" applyBorder="1" applyAlignment="1">
      <alignment horizontal="center" vertical="center" wrapText="1"/>
    </xf>
    <xf numFmtId="0" fontId="28" fillId="0" borderId="7" xfId="486" applyNumberFormat="1" applyFont="1" applyFill="1" applyBorder="1" applyAlignment="1">
      <alignment horizontal="center" vertical="center" wrapText="1"/>
    </xf>
    <xf numFmtId="0" fontId="28" fillId="0" borderId="0" xfId="486" applyNumberFormat="1" applyFont="1" applyFill="1" applyBorder="1" applyAlignment="1">
      <alignment horizontal="center" vertical="center" wrapText="1"/>
    </xf>
    <xf numFmtId="184" fontId="0" fillId="0" borderId="0" xfId="486" applyNumberFormat="1" applyFill="1" applyBorder="1" applyAlignment="1">
      <alignment vertical="center" wrapText="1"/>
    </xf>
    <xf numFmtId="176" fontId="0" fillId="7" borderId="0" xfId="447" applyFill="1">
      <alignment vertical="center"/>
    </xf>
    <xf numFmtId="176" fontId="0" fillId="7" borderId="0" xfId="447" applyFill="1" applyAlignment="1">
      <alignment horizontal="center" vertical="center"/>
    </xf>
    <xf numFmtId="176" fontId="33" fillId="7" borderId="0" xfId="491" applyFont="1" applyFill="1" applyAlignment="1">
      <alignment horizontal="center" vertical="center"/>
    </xf>
    <xf numFmtId="176" fontId="34" fillId="7" borderId="0" xfId="491" applyFont="1" applyFill="1" applyAlignment="1" applyProtection="1">
      <alignment horizontal="center" vertical="center"/>
      <protection locked="0"/>
    </xf>
    <xf numFmtId="176" fontId="34" fillId="7" borderId="0" xfId="491" applyFont="1" applyFill="1" applyAlignment="1" applyProtection="1">
      <alignment horizontal="left" vertical="center"/>
      <protection locked="0"/>
    </xf>
    <xf numFmtId="176" fontId="35" fillId="7" borderId="0" xfId="491" applyFont="1" applyFill="1" applyAlignment="1" applyProtection="1">
      <alignment horizontal="center" vertical="center"/>
      <protection locked="0"/>
    </xf>
    <xf numFmtId="176" fontId="36" fillId="7" borderId="0" xfId="491" applyFont="1" applyFill="1" applyAlignment="1" applyProtection="1">
      <alignment horizontal="left" vertical="center"/>
      <protection locked="0"/>
    </xf>
    <xf numFmtId="176" fontId="37" fillId="7" borderId="0" xfId="447" applyFont="1" applyFill="1" applyAlignment="1" applyProtection="1">
      <alignment horizontal="right" vertical="center"/>
      <protection locked="0"/>
    </xf>
    <xf numFmtId="49" fontId="38" fillId="7" borderId="0" xfId="490" applyNumberFormat="1" applyFont="1" applyFill="1" applyAlignment="1" applyProtection="1">
      <alignment horizontal="left" vertical="center"/>
      <protection locked="0"/>
    </xf>
    <xf numFmtId="176" fontId="39" fillId="7" borderId="0" xfId="447" applyFont="1" applyFill="1" applyAlignment="1" applyProtection="1">
      <alignment horizontal="left" vertical="center"/>
      <protection locked="0"/>
    </xf>
    <xf numFmtId="176" fontId="40" fillId="7" borderId="0" xfId="491" applyFont="1" applyFill="1" applyAlignment="1">
      <alignment horizontal="right" vertical="center"/>
    </xf>
    <xf numFmtId="14" fontId="41" fillId="7" borderId="0" xfId="447" applyNumberFormat="1" applyFont="1" applyFill="1" applyAlignment="1" applyProtection="1">
      <alignment horizontal="left" vertical="center"/>
      <protection locked="0"/>
    </xf>
    <xf numFmtId="176" fontId="41" fillId="7" borderId="0" xfId="447" applyFont="1" applyFill="1" applyAlignment="1" applyProtection="1">
      <alignment horizontal="right" vertical="center"/>
      <protection locked="0"/>
    </xf>
    <xf numFmtId="176" fontId="42" fillId="7" borderId="0" xfId="447" applyFont="1" applyFill="1" applyAlignment="1">
      <alignment horizontal="left" vertical="center"/>
    </xf>
    <xf numFmtId="176" fontId="36" fillId="7" borderId="0" xfId="491" applyFont="1" applyFill="1" applyAlignment="1" applyProtection="1">
      <alignment horizontal="center" vertical="center"/>
      <protection locked="0"/>
    </xf>
    <xf numFmtId="176" fontId="42" fillId="7" borderId="0" xfId="447" applyFont="1" applyFill="1" applyAlignment="1" applyProtection="1">
      <alignment horizontal="left" vertical="center"/>
      <protection locked="0"/>
    </xf>
    <xf numFmtId="176" fontId="43" fillId="7" borderId="0" xfId="491" applyFont="1" applyFill="1" applyAlignment="1" applyProtection="1">
      <alignment horizontal="center" vertical="center"/>
      <protection locked="0"/>
    </xf>
    <xf numFmtId="182" fontId="41" fillId="7" borderId="0" xfId="490" applyNumberFormat="1" applyFont="1" applyFill="1" applyAlignment="1" applyProtection="1">
      <alignment horizontal="left" vertical="center"/>
      <protection locked="0"/>
    </xf>
    <xf numFmtId="176" fontId="44" fillId="7" borderId="11" xfId="447" applyFont="1" applyFill="1" applyBorder="1" applyAlignment="1" applyProtection="1">
      <alignment horizontal="center" vertical="center"/>
      <protection locked="0"/>
    </xf>
    <xf numFmtId="176" fontId="44" fillId="7" borderId="12" xfId="447" applyFont="1" applyFill="1" applyBorder="1" applyAlignment="1" applyProtection="1">
      <alignment horizontal="center" vertical="center"/>
      <protection locked="0"/>
    </xf>
    <xf numFmtId="176" fontId="13" fillId="7" borderId="13" xfId="488" applyFont="1" applyFill="1" applyBorder="1" applyAlignment="1" applyProtection="1">
      <alignment horizontal="left" vertical="center"/>
      <protection locked="0"/>
    </xf>
    <xf numFmtId="176" fontId="13" fillId="7" borderId="6" xfId="488" applyFont="1" applyFill="1" applyBorder="1" applyAlignment="1" applyProtection="1">
      <alignment horizontal="left" vertical="center"/>
      <protection locked="0"/>
    </xf>
    <xf numFmtId="43" fontId="45" fillId="7" borderId="8" xfId="447" applyNumberFormat="1" applyFont="1" applyFill="1" applyBorder="1" applyAlignment="1">
      <alignment horizontal="left" vertical="center" shrinkToFit="1"/>
    </xf>
    <xf numFmtId="43" fontId="45" fillId="7" borderId="9" xfId="447" applyNumberFormat="1" applyFont="1" applyFill="1" applyBorder="1" applyAlignment="1">
      <alignment horizontal="left" vertical="center" shrinkToFit="1"/>
    </xf>
    <xf numFmtId="43" fontId="45" fillId="7" borderId="14" xfId="447" applyNumberFormat="1" applyFont="1" applyFill="1" applyBorder="1" applyAlignment="1">
      <alignment horizontal="left" vertical="center" shrinkToFit="1"/>
    </xf>
    <xf numFmtId="176" fontId="13" fillId="7" borderId="15" xfId="488" applyFont="1" applyFill="1" applyBorder="1" applyAlignment="1" applyProtection="1">
      <alignment horizontal="left" vertical="center"/>
      <protection locked="0"/>
    </xf>
    <xf numFmtId="176" fontId="13" fillId="7" borderId="16" xfId="488" applyFont="1" applyFill="1" applyBorder="1" applyAlignment="1" applyProtection="1">
      <alignment horizontal="left" vertical="center"/>
      <protection locked="0"/>
    </xf>
    <xf numFmtId="176" fontId="45" fillId="7" borderId="17" xfId="447" applyNumberFormat="1" applyFont="1" applyFill="1" applyBorder="1" applyAlignment="1">
      <alignment horizontal="right" vertical="center" shrinkToFit="1"/>
    </xf>
    <xf numFmtId="176" fontId="45" fillId="7" borderId="18" xfId="447" applyNumberFormat="1" applyFont="1" applyFill="1" applyBorder="1" applyAlignment="1">
      <alignment horizontal="right" vertical="center" shrinkToFit="1"/>
    </xf>
    <xf numFmtId="176" fontId="45" fillId="7" borderId="19" xfId="447" applyNumberFormat="1" applyFont="1" applyFill="1" applyBorder="1" applyAlignment="1">
      <alignment horizontal="right" vertical="center" shrinkToFit="1"/>
    </xf>
    <xf numFmtId="176" fontId="25" fillId="7" borderId="13" xfId="490" applyNumberFormat="1" applyFont="1" applyFill="1" applyBorder="1" applyAlignment="1" applyProtection="1">
      <alignment horizontal="left" vertical="center"/>
      <protection locked="0"/>
    </xf>
    <xf numFmtId="176" fontId="25" fillId="7" borderId="6" xfId="490" applyNumberFormat="1" applyFont="1" applyFill="1" applyBorder="1" applyAlignment="1" applyProtection="1">
      <alignment horizontal="left" vertical="center"/>
      <protection locked="0"/>
    </xf>
    <xf numFmtId="43" fontId="46" fillId="7" borderId="6" xfId="447" applyNumberFormat="1" applyFont="1" applyFill="1" applyBorder="1" applyAlignment="1">
      <alignment horizontal="left" vertical="center" shrinkToFit="1"/>
    </xf>
    <xf numFmtId="176" fontId="25" fillId="7" borderId="20" xfId="490" applyNumberFormat="1" applyFont="1" applyFill="1" applyBorder="1" applyAlignment="1" applyProtection="1">
      <alignment horizontal="left" vertical="center"/>
      <protection locked="0"/>
    </xf>
    <xf numFmtId="176" fontId="25" fillId="7" borderId="21" xfId="490" applyNumberFormat="1" applyFont="1" applyFill="1" applyBorder="1" applyAlignment="1" applyProtection="1">
      <alignment horizontal="left" vertical="center"/>
      <protection locked="0"/>
    </xf>
    <xf numFmtId="176" fontId="25" fillId="7" borderId="22" xfId="490" applyNumberFormat="1" applyFont="1" applyFill="1" applyBorder="1" applyAlignment="1" applyProtection="1">
      <alignment horizontal="left" vertical="center"/>
      <protection locked="0"/>
    </xf>
    <xf numFmtId="43" fontId="46" fillId="7" borderId="23" xfId="447" applyNumberFormat="1" applyFont="1" applyFill="1" applyBorder="1" applyAlignment="1" applyProtection="1">
      <alignment horizontal="left" vertical="center" shrinkToFit="1"/>
      <protection locked="0"/>
    </xf>
    <xf numFmtId="176" fontId="14" fillId="7" borderId="24" xfId="487" applyFont="1" applyFill="1" applyBorder="1" applyAlignment="1">
      <alignment vertical="center"/>
    </xf>
    <xf numFmtId="176" fontId="14" fillId="7" borderId="7" xfId="487" applyFont="1" applyFill="1" applyBorder="1" applyAlignment="1">
      <alignment vertical="center"/>
    </xf>
    <xf numFmtId="43" fontId="46" fillId="7" borderId="7" xfId="447" applyNumberFormat="1" applyFont="1" applyFill="1" applyBorder="1" applyAlignment="1" applyProtection="1">
      <alignment horizontal="left" vertical="center" shrinkToFit="1"/>
      <protection locked="0"/>
    </xf>
    <xf numFmtId="176" fontId="14" fillId="7" borderId="8" xfId="487" applyFont="1" applyFill="1" applyBorder="1" applyAlignment="1">
      <alignment horizontal="left" vertical="center"/>
    </xf>
    <xf numFmtId="176" fontId="14" fillId="7" borderId="9" xfId="487" applyFont="1" applyFill="1" applyBorder="1" applyAlignment="1">
      <alignment horizontal="left" vertical="center"/>
    </xf>
    <xf numFmtId="176" fontId="14" fillId="7" borderId="10" xfId="487" applyFont="1" applyFill="1" applyBorder="1" applyAlignment="1">
      <alignment horizontal="left" vertical="center"/>
    </xf>
    <xf numFmtId="43" fontId="46" fillId="7" borderId="25" xfId="447" applyNumberFormat="1" applyFont="1" applyFill="1" applyBorder="1" applyAlignment="1" applyProtection="1">
      <alignment horizontal="left" vertical="center" shrinkToFit="1"/>
      <protection locked="0"/>
    </xf>
    <xf numFmtId="176" fontId="14" fillId="7" borderId="26" xfId="487" applyFont="1" applyFill="1" applyBorder="1" applyAlignment="1">
      <alignment vertical="center"/>
    </xf>
    <xf numFmtId="176" fontId="14" fillId="7" borderId="27" xfId="487" applyFont="1" applyFill="1" applyBorder="1" applyAlignment="1">
      <alignment vertical="center"/>
    </xf>
    <xf numFmtId="43" fontId="46" fillId="7" borderId="27" xfId="490" applyNumberFormat="1" applyFont="1" applyFill="1" applyBorder="1" applyAlignment="1" applyProtection="1">
      <alignment horizontal="left" vertical="center" shrinkToFit="1"/>
      <protection locked="0"/>
    </xf>
    <xf numFmtId="185" fontId="25" fillId="7" borderId="28" xfId="490" applyNumberFormat="1" applyFont="1" applyFill="1" applyBorder="1" applyAlignment="1" applyProtection="1">
      <alignment horizontal="left" vertical="center"/>
      <protection locked="0"/>
    </xf>
    <xf numFmtId="185" fontId="25" fillId="7" borderId="29" xfId="490" applyNumberFormat="1" applyFont="1" applyFill="1" applyBorder="1" applyAlignment="1" applyProtection="1">
      <alignment horizontal="left" vertical="center"/>
      <protection locked="0"/>
    </xf>
    <xf numFmtId="185" fontId="25" fillId="7" borderId="30" xfId="490" applyNumberFormat="1" applyFont="1" applyFill="1" applyBorder="1" applyAlignment="1" applyProtection="1">
      <alignment horizontal="left" vertical="center"/>
      <protection locked="0"/>
    </xf>
    <xf numFmtId="43" fontId="46" fillId="7" borderId="31" xfId="490" applyNumberFormat="1" applyFont="1" applyFill="1" applyBorder="1" applyAlignment="1" applyProtection="1">
      <alignment horizontal="left" vertical="center" shrinkToFit="1"/>
      <protection locked="0"/>
    </xf>
    <xf numFmtId="177" fontId="47" fillId="7" borderId="0" xfId="490" applyNumberFormat="1" applyFont="1" applyFill="1" applyAlignment="1" applyProtection="1">
      <alignment horizontal="left" vertical="center"/>
      <protection locked="0"/>
    </xf>
    <xf numFmtId="176" fontId="48" fillId="0" borderId="11" xfId="489" applyFont="1" applyBorder="1" applyAlignment="1">
      <alignment horizontal="center" vertical="center" wrapText="1"/>
    </xf>
    <xf numFmtId="176" fontId="48" fillId="0" borderId="32" xfId="489" applyFont="1" applyBorder="1" applyAlignment="1">
      <alignment horizontal="center" vertical="center" wrapText="1"/>
    </xf>
    <xf numFmtId="180" fontId="48" fillId="0" borderId="32" xfId="489" applyNumberFormat="1" applyFont="1" applyBorder="1" applyAlignment="1">
      <alignment horizontal="center" vertical="center" wrapText="1"/>
    </xf>
    <xf numFmtId="179" fontId="48" fillId="0" borderId="32" xfId="489" applyNumberFormat="1" applyFont="1" applyBorder="1" applyAlignment="1">
      <alignment horizontal="center" vertical="center" wrapText="1"/>
    </xf>
    <xf numFmtId="176" fontId="48" fillId="0" borderId="33" xfId="489" applyFont="1" applyBorder="1" applyAlignment="1">
      <alignment horizontal="center" vertical="center" wrapText="1"/>
    </xf>
    <xf numFmtId="176" fontId="30" fillId="0" borderId="24" xfId="489" applyFont="1" applyBorder="1" applyAlignment="1">
      <alignment horizontal="center" vertical="center"/>
    </xf>
    <xf numFmtId="176" fontId="30" fillId="0" borderId="7" xfId="489" applyFont="1" applyBorder="1" applyAlignment="1">
      <alignment horizontal="center" vertical="center"/>
    </xf>
    <xf numFmtId="43" fontId="30" fillId="0" borderId="7" xfId="489" applyNumberFormat="1" applyFont="1" applyBorder="1" applyAlignment="1">
      <alignment horizontal="center" vertical="center"/>
    </xf>
    <xf numFmtId="180" fontId="30" fillId="0" borderId="7" xfId="489" applyNumberFormat="1" applyFont="1" applyBorder="1" applyAlignment="1">
      <alignment horizontal="center" vertical="center"/>
    </xf>
    <xf numFmtId="179" fontId="30" fillId="0" borderId="7" xfId="489" applyNumberFormat="1" applyFont="1" applyBorder="1" applyAlignment="1">
      <alignment horizontal="center" vertical="center" wrapText="1"/>
    </xf>
    <xf numFmtId="176" fontId="30" fillId="0" borderId="25" xfId="489" applyFont="1" applyBorder="1" applyAlignment="1">
      <alignment horizontal="center" vertical="center"/>
    </xf>
    <xf numFmtId="176" fontId="30" fillId="0" borderId="25" xfId="489" applyFont="1" applyBorder="1" applyAlignment="1">
      <alignment horizontal="center" vertical="center" wrapText="1"/>
    </xf>
    <xf numFmtId="43" fontId="49" fillId="0" borderId="7" xfId="489" applyNumberFormat="1" applyFont="1" applyBorder="1" applyAlignment="1">
      <alignment horizontal="center" vertical="center"/>
    </xf>
    <xf numFmtId="180" fontId="49" fillId="0" borderId="7" xfId="489" applyNumberFormat="1" applyFont="1" applyBorder="1" applyAlignment="1">
      <alignment horizontal="center" vertical="center"/>
    </xf>
    <xf numFmtId="179" fontId="49" fillId="0" borderId="7" xfId="489" applyNumberFormat="1" applyFont="1" applyBorder="1" applyAlignment="1">
      <alignment horizontal="center" vertical="center" wrapText="1"/>
    </xf>
    <xf numFmtId="176" fontId="30" fillId="0" borderId="7" xfId="489" applyFont="1" applyBorder="1" applyAlignment="1">
      <alignment horizontal="center" vertical="center" wrapText="1"/>
    </xf>
    <xf numFmtId="10" fontId="49" fillId="0" borderId="7" xfId="489" applyNumberFormat="1" applyFont="1" applyBorder="1" applyAlignment="1">
      <alignment horizontal="center" vertical="center"/>
    </xf>
    <xf numFmtId="179" fontId="49" fillId="0" borderId="7" xfId="489" applyNumberFormat="1" applyFont="1" applyBorder="1" applyAlignment="1">
      <alignment horizontal="center" vertical="center"/>
    </xf>
    <xf numFmtId="176" fontId="29" fillId="9" borderId="24" xfId="489" applyFont="1" applyFill="1" applyBorder="1" applyAlignment="1">
      <alignment horizontal="center" vertical="center"/>
    </xf>
    <xf numFmtId="176" fontId="29" fillId="9" borderId="7" xfId="489" applyFont="1" applyFill="1" applyBorder="1" applyAlignment="1">
      <alignment horizontal="center" vertical="center"/>
    </xf>
    <xf numFmtId="179" fontId="29" fillId="9" borderId="7" xfId="489" applyNumberFormat="1" applyFont="1" applyFill="1" applyBorder="1" applyAlignment="1">
      <alignment horizontal="center" vertical="center" wrapText="1"/>
    </xf>
    <xf numFmtId="176" fontId="30" fillId="9" borderId="25" xfId="489" applyFont="1" applyFill="1" applyBorder="1" applyAlignment="1">
      <alignment horizontal="left" vertical="center"/>
    </xf>
    <xf numFmtId="176" fontId="29" fillId="9" borderId="26" xfId="489" applyFont="1" applyFill="1" applyBorder="1" applyAlignment="1">
      <alignment horizontal="center" vertical="center"/>
    </xf>
    <xf numFmtId="176" fontId="29" fillId="9" borderId="27" xfId="489" applyFont="1" applyFill="1" applyBorder="1" applyAlignment="1">
      <alignment horizontal="center" vertical="center"/>
    </xf>
    <xf numFmtId="179" fontId="29" fillId="9" borderId="27" xfId="489" applyNumberFormat="1" applyFont="1" applyFill="1" applyBorder="1" applyAlignment="1">
      <alignment horizontal="center" vertical="center" wrapText="1"/>
    </xf>
    <xf numFmtId="176" fontId="30" fillId="9" borderId="31" xfId="489" applyFont="1" applyFill="1" applyBorder="1" applyAlignment="1">
      <alignment horizontal="left" vertical="center"/>
    </xf>
    <xf numFmtId="182" fontId="41" fillId="7" borderId="0" xfId="490" applyNumberFormat="1" applyFont="1" applyFill="1" applyAlignment="1" applyProtection="1">
      <alignment horizontal="right" vertical="center"/>
      <protection locked="0"/>
    </xf>
    <xf numFmtId="176" fontId="20" fillId="7" borderId="0" xfId="491" applyFont="1" applyFill="1" applyAlignment="1">
      <alignment horizontal="right" vertical="center"/>
    </xf>
    <xf numFmtId="14" fontId="38" fillId="7" borderId="0" xfId="447" applyNumberFormat="1" applyFont="1" applyFill="1" applyAlignment="1" applyProtection="1">
      <alignment horizontal="left" vertical="center"/>
      <protection locked="0"/>
    </xf>
    <xf numFmtId="176" fontId="50" fillId="7" borderId="0" xfId="491" applyFont="1" applyFill="1" applyAlignment="1" applyProtection="1">
      <alignment horizontal="right" vertical="center"/>
      <protection locked="0"/>
    </xf>
    <xf numFmtId="176" fontId="51" fillId="7" borderId="0" xfId="491" applyFont="1" applyFill="1" applyAlignment="1" applyProtection="1">
      <alignment horizontal="left" vertical="center"/>
      <protection locked="0"/>
    </xf>
    <xf numFmtId="176" fontId="42" fillId="10" borderId="34" xfId="491" applyFont="1" applyFill="1" applyBorder="1" applyProtection="1">
      <alignment vertical="center"/>
      <protection locked="0"/>
    </xf>
    <xf numFmtId="176" fontId="42" fillId="10" borderId="0" xfId="491" applyFont="1" applyFill="1" applyProtection="1">
      <alignment vertical="center"/>
      <protection locked="0"/>
    </xf>
    <xf numFmtId="176" fontId="52" fillId="10" borderId="0" xfId="491" applyFont="1" applyFill="1" applyAlignment="1" applyProtection="1">
      <alignment horizontal="left" vertical="center"/>
      <protection locked="0"/>
    </xf>
    <xf numFmtId="176" fontId="53" fillId="10" borderId="0" xfId="491" applyFont="1" applyFill="1" applyAlignment="1" applyProtection="1">
      <alignment horizontal="left" vertical="center"/>
      <protection locked="0"/>
    </xf>
    <xf numFmtId="176" fontId="54" fillId="10" borderId="0" xfId="491" applyFont="1" applyFill="1" applyAlignment="1" applyProtection="1">
      <alignment horizontal="left" vertical="center"/>
      <protection locked="0"/>
    </xf>
    <xf numFmtId="176" fontId="55" fillId="10" borderId="0" xfId="491" applyFont="1" applyFill="1" applyProtection="1">
      <alignment vertical="center"/>
      <protection locked="0"/>
    </xf>
    <xf numFmtId="176" fontId="55" fillId="10" borderId="0" xfId="491" applyFont="1" applyFill="1" applyAlignment="1" applyProtection="1">
      <alignment horizontal="left" vertical="center"/>
      <protection locked="0"/>
    </xf>
    <xf numFmtId="176" fontId="42" fillId="10" borderId="0" xfId="443" applyFont="1" applyFill="1" applyAlignment="1">
      <alignment vertical="center"/>
    </xf>
    <xf numFmtId="176" fontId="54" fillId="10" borderId="0" xfId="491" applyFont="1" applyFill="1" applyAlignment="1" applyProtection="1">
      <alignment horizontal="right" vertical="center"/>
      <protection locked="0"/>
    </xf>
    <xf numFmtId="176" fontId="42" fillId="10" borderId="0" xfId="443" applyFont="1" applyFill="1" applyAlignment="1">
      <alignment vertical="center" wrapText="1"/>
    </xf>
    <xf numFmtId="49" fontId="56" fillId="7" borderId="0" xfId="491" applyNumberFormat="1" applyFont="1" applyFill="1" applyAlignment="1" applyProtection="1">
      <alignment horizontal="left" vertical="center"/>
      <protection locked="0"/>
    </xf>
    <xf numFmtId="176" fontId="57" fillId="7" borderId="0" xfId="447" applyFont="1" applyFill="1" applyAlignment="1">
      <alignment horizontal="left" vertical="center"/>
    </xf>
    <xf numFmtId="176" fontId="58" fillId="7" borderId="0" xfId="447" applyFont="1" applyFill="1">
      <alignment vertical="center"/>
    </xf>
    <xf numFmtId="49" fontId="47" fillId="7" borderId="0" xfId="490" applyNumberFormat="1" applyFont="1" applyFill="1" applyAlignment="1" applyProtection="1">
      <alignment horizontal="left" vertical="center"/>
      <protection locked="0"/>
    </xf>
    <xf numFmtId="49" fontId="40" fillId="7" borderId="0" xfId="491" applyNumberFormat="1" applyFont="1" applyFill="1" applyAlignment="1" applyProtection="1">
      <alignment horizontal="left" vertical="center"/>
      <protection locked="0"/>
    </xf>
    <xf numFmtId="49" fontId="20" fillId="7" borderId="0" xfId="491" applyNumberFormat="1" applyFont="1" applyFill="1" applyAlignment="1" applyProtection="1">
      <alignment horizontal="left" vertical="center"/>
      <protection locked="0"/>
    </xf>
    <xf numFmtId="49" fontId="41" fillId="7" borderId="0" xfId="490" applyNumberFormat="1" applyFont="1" applyFill="1" applyAlignment="1" applyProtection="1">
      <alignment horizontal="left" vertical="center"/>
      <protection locked="0"/>
    </xf>
    <xf numFmtId="49" fontId="37" fillId="7" borderId="0" xfId="490" applyNumberFormat="1" applyFont="1" applyFill="1" applyAlignment="1" applyProtection="1">
      <alignment horizontal="left" vertical="center"/>
      <protection locked="0"/>
    </xf>
    <xf numFmtId="176" fontId="31" fillId="7" borderId="0" xfId="447" applyFont="1" applyFill="1" applyAlignment="1">
      <alignment horizontal="left" vertical="center" wrapText="1"/>
    </xf>
    <xf numFmtId="179" fontId="0" fillId="7" borderId="0" xfId="447" applyNumberFormat="1" applyFill="1">
      <alignment vertical="center"/>
    </xf>
    <xf numFmtId="178" fontId="0" fillId="0" borderId="0" xfId="486" applyNumberFormat="1">
      <alignment vertical="center"/>
    </xf>
    <xf numFmtId="178" fontId="0" fillId="7" borderId="0" xfId="447" applyNumberFormat="1" applyFill="1">
      <alignment vertical="center"/>
    </xf>
    <xf numFmtId="176" fontId="0" fillId="0" borderId="0" xfId="486">
      <alignment vertical="center"/>
    </xf>
    <xf numFmtId="0" fontId="14" fillId="0" borderId="7" xfId="309" applyFont="1" applyFill="1" applyBorder="1" applyAlignment="1">
      <alignment horizontal="center" vertical="center" wrapText="1"/>
    </xf>
    <xf numFmtId="49" fontId="14" fillId="0" borderId="7" xfId="309" applyNumberFormat="1" applyFont="1" applyFill="1" applyBorder="1" applyAlignment="1">
      <alignment horizontal="center" vertical="center" wrapText="1"/>
    </xf>
  </cellXfs>
  <cellStyles count="493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标题 4" xfId="29" builtinId="19"/>
    <cellStyle name="解释性文本 2 2" xfId="30"/>
    <cellStyle name="60% - 强调文字颜色 2" xfId="31" builtinId="36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40% - 强调文字颜色 3 2" xfId="202"/>
    <cellStyle name="计算 2 2" xfId="203"/>
    <cellStyle name="40% - 强调文字颜色 3 2 2" xfId="204"/>
    <cellStyle name="计算 2 2 2" xfId="205"/>
    <cellStyle name="40% - 强调文字颜色 3 2 3" xfId="206"/>
    <cellStyle name="40% - 强调文字颜色 3 3" xfId="207"/>
    <cellStyle name="计算 2 3" xfId="208"/>
    <cellStyle name="40% - 强调文字颜色 3 3 2" xfId="209"/>
    <cellStyle name="计算 2 3 2" xfId="210"/>
    <cellStyle name="40% - 强调文字颜色 3 4" xfId="211"/>
    <cellStyle name="计算 2 4" xfId="212"/>
    <cellStyle name="40% - 强调文字颜色 3 5" xfId="213"/>
    <cellStyle name="40% - 强调文字颜色 4 2 2" xfId="214"/>
    <cellStyle name="标题 4 4" xfId="215"/>
    <cellStyle name="汇总 2 3" xfId="216"/>
    <cellStyle name="计算 3 2 2" xfId="217"/>
    <cellStyle name="检查单元格 2" xfId="218"/>
    <cellStyle name="40% - 强调文字颜色 4 2 3" xfId="219"/>
    <cellStyle name="标题 4 5" xfId="220"/>
    <cellStyle name="汇总 2 4" xfId="221"/>
    <cellStyle name="检查单元格 3" xfId="222"/>
    <cellStyle name="40% - 强调文字颜色 4 3" xfId="223"/>
    <cellStyle name="计算 3 3" xfId="224"/>
    <cellStyle name="输入 2 2 2" xfId="225"/>
    <cellStyle name="40% - 强调文字颜色 5 2" xfId="226"/>
    <cellStyle name="好 2 3" xfId="227"/>
    <cellStyle name="计算 4 2" xfId="228"/>
    <cellStyle name="40% - 强调文字颜色 5 2 3" xfId="229"/>
    <cellStyle name="60% - 强调文字颜色 4 4" xfId="230"/>
    <cellStyle name="40% - 强调文字颜色 5 3" xfId="231"/>
    <cellStyle name="输入 2 3 2" xfId="232"/>
    <cellStyle name="40% - 强调文字颜色 5 3 2" xfId="233"/>
    <cellStyle name="60% - 强调文字颜色 5 3" xfId="234"/>
    <cellStyle name="40% - 强调文字颜色 5 5" xfId="235"/>
    <cellStyle name="40% - 强调文字颜色 6 2" xfId="236"/>
    <cellStyle name="计算 5 2" xfId="237"/>
    <cellStyle name="适中 2 2" xfId="238"/>
    <cellStyle name="40% - 强调文字颜色 6 2 2" xfId="239"/>
    <cellStyle name="40% - 强调文字颜色 6 2 3" xfId="240"/>
    <cellStyle name="40% - 强调文字颜色 6 3" xfId="241"/>
    <cellStyle name="强调文字颜色 3 2 2" xfId="242"/>
    <cellStyle name="适中 2 3" xfId="243"/>
    <cellStyle name="40% - 强调文字颜色 6 3 2" xfId="244"/>
    <cellStyle name="解释性文本 3" xfId="245"/>
    <cellStyle name="40% - 强调文字颜色 6 4" xfId="246"/>
    <cellStyle name="60% - 强调文字颜色 4 2 2" xfId="247"/>
    <cellStyle name="强调文字颜色 3 2 3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60% - 强调文字颜色 1 5" xfId="253"/>
    <cellStyle name="警告文本 2 2" xfId="254"/>
    <cellStyle name="注释 5 2 2" xfId="255"/>
    <cellStyle name="60% - 强调文字颜色 2 2 3" xfId="256"/>
    <cellStyle name="60% - 强调文字颜色 2 3 2" xfId="257"/>
    <cellStyle name="常规 6 2" xfId="258"/>
    <cellStyle name="注释 2" xfId="259"/>
    <cellStyle name="60% - 强调文字颜色 2 4" xfId="260"/>
    <cellStyle name="常规 7" xfId="261"/>
    <cellStyle name="60% - 强调文字颜色 2 5" xfId="262"/>
    <cellStyle name="常规 8" xfId="263"/>
    <cellStyle name="警告文本 3 2" xfId="264"/>
    <cellStyle name="60% - 强调文字颜色 3 2 2" xfId="265"/>
    <cellStyle name="强调文字颜色 2 2 3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60% - 强调文字颜色 4 5" xfId="272"/>
    <cellStyle name="常规_创联至信12年工资表sn803808" xfId="273"/>
    <cellStyle name="60% - 强调文字颜色 5 2" xfId="274"/>
    <cellStyle name="60% - 强调文字颜色 5 2 2" xfId="275"/>
    <cellStyle name="强调文字颜色 4 2 3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60% - 强调文字颜色 6 2 2" xfId="282"/>
    <cellStyle name="常规 3 5 3" xfId="283"/>
    <cellStyle name="强调文字颜色 5 2 3" xfId="284"/>
    <cellStyle name="60% - 强调文字颜色 6 2 3" xfId="285"/>
    <cellStyle name="Normal_08'前程工资8月" xfId="286"/>
    <cellStyle name="60% - 强调文字颜色 6 3" xfId="287"/>
    <cellStyle name="60% - 强调文字颜色 6 4" xfId="288"/>
    <cellStyle name="60% - 强调文字颜色 6 5" xfId="289"/>
    <cellStyle name="Comma_SALARYBJ" xfId="290"/>
    <cellStyle name="警告文本 2 3" xfId="291"/>
    <cellStyle name="百分比 2" xfId="292"/>
    <cellStyle name="差 4" xfId="293"/>
    <cellStyle name="百分比 2 2" xfId="294"/>
    <cellStyle name="标题 1 2" xfId="295"/>
    <cellStyle name="标题 1 2 2" xfId="296"/>
    <cellStyle name="标题 1 2 3" xfId="297"/>
    <cellStyle name="标题 1 3" xfId="298"/>
    <cellStyle name="标题 1 3 2" xfId="299"/>
    <cellStyle name="汇总 3" xfId="300"/>
    <cellStyle name="标题 1 4" xfId="301"/>
    <cellStyle name="标题 1 5" xfId="302"/>
    <cellStyle name="标题 2 2" xfId="303"/>
    <cellStyle name="标题 2 2 2" xfId="304"/>
    <cellStyle name="标题 2 2 3" xfId="305"/>
    <cellStyle name="好 3 2" xfId="306"/>
    <cellStyle name="标题 2 3" xfId="307"/>
    <cellStyle name="标题 2 3 2" xfId="308"/>
    <cellStyle name="常规 11" xfId="309"/>
    <cellStyle name="标题 2 4" xfId="310"/>
    <cellStyle name="标题 2 5" xfId="311"/>
    <cellStyle name="标题 3 2" xfId="312"/>
    <cellStyle name="标题 3 2 2" xfId="313"/>
    <cellStyle name="好 5" xfId="314"/>
    <cellStyle name="标题 3 2 3" xfId="315"/>
    <cellStyle name="标题 3 3" xfId="316"/>
    <cellStyle name="标题 3 3 2" xfId="317"/>
    <cellStyle name="样式 1" xfId="318"/>
    <cellStyle name="标题 3 4" xfId="319"/>
    <cellStyle name="标题 3 5" xfId="320"/>
    <cellStyle name="标题 4 2" xfId="321"/>
    <cellStyle name="千位分隔 3" xfId="322"/>
    <cellStyle name="标题 4 2 3" xfId="323"/>
    <cellStyle name="标题 4 3" xfId="324"/>
    <cellStyle name="汇总 2 2" xfId="325"/>
    <cellStyle name="标题 4 3 2" xfId="326"/>
    <cellStyle name="汇总 2 2 2" xfId="327"/>
    <cellStyle name="标题 5" xfId="328"/>
    <cellStyle name="解释性文本 2 3" xfId="329"/>
    <cellStyle name="标题 5 2" xfId="330"/>
    <cellStyle name="强调文字颜色 1 4" xfId="331"/>
    <cellStyle name="标题 5 3" xfId="332"/>
    <cellStyle name="汇总 3 2" xfId="333"/>
    <cellStyle name="强调文字颜色 1 5" xfId="334"/>
    <cellStyle name="标题 6" xfId="335"/>
    <cellStyle name="标题 6 2" xfId="336"/>
    <cellStyle name="强调文字颜色 2 4" xfId="337"/>
    <cellStyle name="标题 7" xfId="338"/>
    <cellStyle name="注释 2 4 2" xfId="339"/>
    <cellStyle name="标题 8" xfId="340"/>
    <cellStyle name="差 2" xfId="341"/>
    <cellStyle name="解释性文本 5" xfId="342"/>
    <cellStyle name="差 2 2" xfId="343"/>
    <cellStyle name="差 3" xfId="344"/>
    <cellStyle name="差 3 2" xfId="345"/>
    <cellStyle name="常规 11 2" xfId="346"/>
    <cellStyle name="常规 11 3" xfId="347"/>
    <cellStyle name="常规 2 3 2 2" xfId="348"/>
    <cellStyle name="常规 12" xfId="349"/>
    <cellStyle name="常规 12 2" xfId="350"/>
    <cellStyle name="常规 12 3" xfId="351"/>
    <cellStyle name="常规 14" xfId="352"/>
    <cellStyle name="强调文字颜色 3 3 2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常规 2 3" xfId="361"/>
    <cellStyle name="输入 3 2" xfId="362"/>
    <cellStyle name="常规 2 3 2" xfId="363"/>
    <cellStyle name="输入 3 2 2" xfId="364"/>
    <cellStyle name="常规 2 3 3" xfId="365"/>
    <cellStyle name="常规 2 3 4" xfId="366"/>
    <cellStyle name="常规 2 4" xfId="367"/>
    <cellStyle name="输入 3 3" xfId="368"/>
    <cellStyle name="常规 2 4 2" xfId="369"/>
    <cellStyle name="常规 2 5" xfId="370"/>
    <cellStyle name="强调文字颜色 4 2" xfId="371"/>
    <cellStyle name="常规 2 5 2" xfId="372"/>
    <cellStyle name="强调文字颜色 4 2 2" xfId="373"/>
    <cellStyle name="常规 2 6" xfId="374"/>
    <cellStyle name="强调文字颜色 4 3" xfId="375"/>
    <cellStyle name="常规 2 6 2" xfId="376"/>
    <cellStyle name="强调文字颜色 4 3 2" xfId="377"/>
    <cellStyle name="常规 2 6 2 2" xfId="378"/>
    <cellStyle name="常规 27" xfId="379"/>
    <cellStyle name="常规 3 2 2" xfId="380"/>
    <cellStyle name="适中 4" xfId="381"/>
    <cellStyle name="常规 3 3 2" xfId="382"/>
    <cellStyle name="常规 3 3 3" xfId="383"/>
    <cellStyle name="常规 3 4" xfId="384"/>
    <cellStyle name="常规 3 4 2" xfId="385"/>
    <cellStyle name="常规 3 5" xfId="386"/>
    <cellStyle name="强调文字颜色 5 2" xfId="387"/>
    <cellStyle name="常规 3 5 2" xfId="388"/>
    <cellStyle name="强调文字颜色 5 2 2" xfId="389"/>
    <cellStyle name="常规 4 2 2" xfId="390"/>
    <cellStyle name="常规 4 4" xfId="391"/>
    <cellStyle name="常规 4 3" xfId="392"/>
    <cellStyle name="输入 5 2" xfId="393"/>
    <cellStyle name="常规 7 2" xfId="394"/>
    <cellStyle name="常规 8 4" xfId="395"/>
    <cellStyle name="强调文字颜色 6 3 2" xfId="396"/>
    <cellStyle name="常规 9" xfId="397"/>
    <cellStyle name="常规_付款通知书智联（神数系统）" xfId="398"/>
    <cellStyle name="警告文本 2" xfId="399"/>
    <cellStyle name="注释 5 2" xfId="400"/>
    <cellStyle name="好 2 2" xfId="401"/>
    <cellStyle name="好 3" xfId="402"/>
    <cellStyle name="好 4" xfId="403"/>
    <cellStyle name="汇总 2" xfId="404"/>
    <cellStyle name="汇总 2 3 2" xfId="405"/>
    <cellStyle name="检查单元格 2 2" xfId="406"/>
    <cellStyle name="汇总 4" xfId="407"/>
    <cellStyle name="汇总 5" xfId="408"/>
    <cellStyle name="汇总 5 2" xfId="409"/>
    <cellStyle name="强调文字颜色 3 5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警告文本 3" xfId="417"/>
    <cellStyle name="注释 5 3" xfId="418"/>
    <cellStyle name="警告文本 4" xfId="419"/>
    <cellStyle name="警告文本 5" xfId="420"/>
    <cellStyle name="链接单元格 2" xfId="421"/>
    <cellStyle name="注释 2 3 2" xfId="422"/>
    <cellStyle name="链接单元格 2 2" xfId="423"/>
    <cellStyle name="注释 2 3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强调文字颜色 3 2" xfId="435"/>
    <cellStyle name="输入 2 4" xfId="436"/>
    <cellStyle name="强调文字颜色 3 3" xfId="437"/>
    <cellStyle name="强调文字颜色 3 4" xfId="438"/>
    <cellStyle name="强调文字颜色 4 4" xfId="439"/>
    <cellStyle name="强调文字颜色 4 5" xfId="440"/>
    <cellStyle name="输入 2" xfId="441"/>
    <cellStyle name="强调文字颜色 5 3" xfId="442"/>
    <cellStyle name="常规 3 6" xfId="443"/>
    <cellStyle name="强调文字颜色 5 3 2" xfId="444"/>
    <cellStyle name="强调文字颜色 5 4" xfId="445"/>
    <cellStyle name="强调文字颜色 6 2" xfId="446"/>
    <cellStyle name="常规 4 5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输入 2 2" xfId="460"/>
    <cellStyle name="样式 2 4" xfId="461"/>
    <cellStyle name="输入 2 3" xfId="462"/>
    <cellStyle name="样式 2 5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 10" xfId="486"/>
    <cellStyle name="3232 2" xfId="487"/>
    <cellStyle name="㼿㼿㼿㼿㼿" xfId="488"/>
    <cellStyle name="常规_0705 UL South CS meeting (chonghua)" xfId="489"/>
    <cellStyle name="㼿㼿㼿㼿㼿㼿㼿" xfId="490"/>
    <cellStyle name="㼿㼿㼿㼿? 2" xfId="491"/>
    <cellStyle name="百分比 2 3" xfId="49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409190" cy="599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/>
      <c r="C4" s="257"/>
      <c r="D4" s="37"/>
      <c r="E4" s="258"/>
      <c r="F4" s="38" t="e">
        <f t="shared" ref="F4:F20" si="0">IF(MOD(MID(E4,17,1),2)=1,"男","女")</f>
        <v>#VALUE!</v>
      </c>
      <c r="G4" s="39"/>
      <c r="H4" s="40"/>
      <c r="I4" s="40"/>
      <c r="J4" s="69"/>
      <c r="K4" s="40"/>
      <c r="L4" s="70"/>
      <c r="M4" s="71"/>
      <c r="N4" s="71"/>
      <c r="O4" s="71"/>
      <c r="P4" s="71"/>
      <c r="Q4" s="89">
        <f>ROUND(SUM(M4:P4),2)</f>
        <v>0</v>
      </c>
      <c r="R4" s="70">
        <v>0</v>
      </c>
      <c r="S4" s="90">
        <f>L4</f>
        <v>0</v>
      </c>
      <c r="T4" s="91">
        <v>5000</v>
      </c>
      <c r="U4" s="91">
        <f>Q4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-5000</v>
      </c>
      <c r="AE4" s="94">
        <f>ROUND(MAX((AD4)*{0.03;0.1;0.2;0.25;0.3;0.35;0.45}-{0;2520;16920;31920;52920;85920;181920},0),2)</f>
        <v>0</v>
      </c>
      <c r="AF4" s="95">
        <v>0</v>
      </c>
      <c r="AG4" s="95">
        <f>IF((AE4-AF4)&lt;0,0,AE4-AF4)</f>
        <v>0</v>
      </c>
      <c r="AH4" s="102">
        <f>ROUND(IF((L4-Q4-AG4)&lt;0,0,(L4-Q4-AG4)),2)</f>
        <v>0</v>
      </c>
      <c r="AI4" s="103"/>
      <c r="AJ4" s="102">
        <f>AH4+AI4</f>
        <v>0</v>
      </c>
      <c r="AK4" s="104"/>
      <c r="AL4" s="102">
        <f>AJ4+AG4+AK4</f>
        <v>0</v>
      </c>
      <c r="AM4" s="104"/>
      <c r="AN4" s="104"/>
      <c r="AO4" s="104" t="s">
        <v>50</v>
      </c>
      <c r="AP4" s="104" t="s">
        <v>51</v>
      </c>
      <c r="AQ4" s="104" t="s">
        <v>52</v>
      </c>
      <c r="AR4" s="111" t="str">
        <f t="shared" ref="AR4:AR20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1" t="str">
        <f t="shared" ref="AS4:AS20" si="2">IF(SUMPRODUCT(N(E$1:E$20=E4))&gt;1,"重复","不")</f>
        <v>重复</v>
      </c>
      <c r="AT4" s="111" t="str">
        <f t="shared" ref="AT4:AT20" si="3">IF(SUMPRODUCT(N(AO$1:AO$20=AO4))&gt;1,"重复","不")</f>
        <v>不</v>
      </c>
    </row>
    <row r="5" s="12" customFormat="1" ht="18" customHeight="1" spans="1:46">
      <c r="A5" s="36">
        <v>2</v>
      </c>
      <c r="B5" s="37"/>
      <c r="C5" s="37"/>
      <c r="D5" s="37" t="s">
        <v>53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0" si="4">ROUND(SUM(M5:P5),2)</f>
        <v>0</v>
      </c>
      <c r="R5" s="70">
        <v>0</v>
      </c>
      <c r="S5" s="90">
        <f t="shared" ref="S5:S20" si="5">L5</f>
        <v>0</v>
      </c>
      <c r="T5" s="91">
        <v>5000</v>
      </c>
      <c r="U5" s="91">
        <f t="shared" ref="U5:U20" si="6">Q5</f>
        <v>0</v>
      </c>
      <c r="V5" s="70"/>
      <c r="W5" s="70"/>
      <c r="X5" s="70"/>
      <c r="Y5" s="70"/>
      <c r="Z5" s="70"/>
      <c r="AA5" s="70"/>
      <c r="AB5" s="90">
        <f t="shared" ref="AB5:AB20" si="7">ROUND(SUM(V5:AA5),2)</f>
        <v>0</v>
      </c>
      <c r="AC5" s="90">
        <f t="shared" ref="AC5:AC20" si="8">R5</f>
        <v>0</v>
      </c>
      <c r="AD5" s="93">
        <f t="shared" ref="AD5:AD20" si="9">ROUND(S5-T5-U5-AB5-AC5,2)</f>
        <v>-5000</v>
      </c>
      <c r="AE5" s="94">
        <f>ROUND(MAX((AD5)*{0.03;0.1;0.2;0.25;0.3;0.35;0.45}-{0;2520;16920;31920;52920;85920;181920},0),2)</f>
        <v>0</v>
      </c>
      <c r="AF5" s="95">
        <v>0</v>
      </c>
      <c r="AG5" s="95">
        <f t="shared" ref="AG5:AG20" si="10">IF((AE5-AF5)&lt;0,0,AE5-AF5)</f>
        <v>0</v>
      </c>
      <c r="AH5" s="102">
        <f t="shared" ref="AH5:AH20" si="11">ROUND(IF((L5-Q5-AG5)&lt;0,0,(L5-Q5-AG5)),2)</f>
        <v>0</v>
      </c>
      <c r="AI5" s="103"/>
      <c r="AJ5" s="102">
        <f>AH5+AI5</f>
        <v>0</v>
      </c>
      <c r="AK5" s="104"/>
      <c r="AL5" s="102">
        <f t="shared" ref="AL5:AL20" si="12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/>
      <c r="C6" s="37"/>
      <c r="D6" s="37" t="s">
        <v>53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 t="shared" si="5"/>
        <v>0</v>
      </c>
      <c r="T6" s="91">
        <v>5000</v>
      </c>
      <c r="U6" s="91">
        <f t="shared" si="6"/>
        <v>0</v>
      </c>
      <c r="V6" s="70"/>
      <c r="W6" s="70"/>
      <c r="X6" s="70"/>
      <c r="Y6" s="70"/>
      <c r="Z6" s="70"/>
      <c r="AA6" s="70"/>
      <c r="AB6" s="90">
        <f t="shared" si="7"/>
        <v>0</v>
      </c>
      <c r="AC6" s="90">
        <f t="shared" si="8"/>
        <v>0</v>
      </c>
      <c r="AD6" s="93">
        <f t="shared" si="9"/>
        <v>-5000</v>
      </c>
      <c r="AE6" s="94">
        <f>ROUND(MAX((AD6)*{0.03;0.1;0.2;0.25;0.3;0.35;0.45}-{0;2520;16920;31920;52920;85920;181920},0),2)</f>
        <v>0</v>
      </c>
      <c r="AF6" s="95">
        <v>0</v>
      </c>
      <c r="AG6" s="95">
        <f t="shared" si="10"/>
        <v>0</v>
      </c>
      <c r="AH6" s="102">
        <f t="shared" si="11"/>
        <v>0</v>
      </c>
      <c r="AI6" s="103"/>
      <c r="AJ6" s="102">
        <f t="shared" ref="AJ6:AJ20" si="13">AH6+AI6</f>
        <v>0</v>
      </c>
      <c r="AK6" s="104"/>
      <c r="AL6" s="102">
        <f t="shared" si="12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/>
      <c r="C7" s="37"/>
      <c r="D7" s="37" t="s">
        <v>53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 t="shared" si="5"/>
        <v>0</v>
      </c>
      <c r="T7" s="91">
        <v>5000</v>
      </c>
      <c r="U7" s="91">
        <f t="shared" si="6"/>
        <v>0</v>
      </c>
      <c r="V7" s="70"/>
      <c r="W7" s="70"/>
      <c r="X7" s="70"/>
      <c r="Y7" s="70"/>
      <c r="Z7" s="70"/>
      <c r="AA7" s="70"/>
      <c r="AB7" s="90">
        <f t="shared" si="7"/>
        <v>0</v>
      </c>
      <c r="AC7" s="90">
        <f t="shared" si="8"/>
        <v>0</v>
      </c>
      <c r="AD7" s="93">
        <f t="shared" si="9"/>
        <v>-5000</v>
      </c>
      <c r="AE7" s="94">
        <f>ROUND(MAX((AD7)*{0.03;0.1;0.2;0.25;0.3;0.35;0.45}-{0;2520;16920;31920;52920;85920;181920},0),2)</f>
        <v>0</v>
      </c>
      <c r="AF7" s="95">
        <v>0</v>
      </c>
      <c r="AG7" s="95">
        <f t="shared" si="10"/>
        <v>0</v>
      </c>
      <c r="AH7" s="102">
        <f t="shared" si="11"/>
        <v>0</v>
      </c>
      <c r="AI7" s="103"/>
      <c r="AJ7" s="102">
        <f t="shared" si="13"/>
        <v>0</v>
      </c>
      <c r="AK7" s="104"/>
      <c r="AL7" s="102">
        <f t="shared" si="12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/>
      <c r="C8" s="37"/>
      <c r="D8" s="37" t="s">
        <v>53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 t="shared" si="5"/>
        <v>0</v>
      </c>
      <c r="T8" s="91">
        <v>5000</v>
      </c>
      <c r="U8" s="91">
        <f t="shared" si="6"/>
        <v>0</v>
      </c>
      <c r="V8" s="70"/>
      <c r="W8" s="70"/>
      <c r="X8" s="70"/>
      <c r="Y8" s="70"/>
      <c r="Z8" s="70"/>
      <c r="AA8" s="70"/>
      <c r="AB8" s="90">
        <f t="shared" si="7"/>
        <v>0</v>
      </c>
      <c r="AC8" s="90">
        <f t="shared" si="8"/>
        <v>0</v>
      </c>
      <c r="AD8" s="93">
        <f t="shared" si="9"/>
        <v>-5000</v>
      </c>
      <c r="AE8" s="94">
        <f>ROUND(MAX((AD8)*{0.03;0.1;0.2;0.25;0.3;0.35;0.45}-{0;2520;16920;31920;52920;85920;181920},0),2)</f>
        <v>0</v>
      </c>
      <c r="AF8" s="95">
        <v>0</v>
      </c>
      <c r="AG8" s="95">
        <f t="shared" si="10"/>
        <v>0</v>
      </c>
      <c r="AH8" s="102">
        <f t="shared" si="11"/>
        <v>0</v>
      </c>
      <c r="AI8" s="103"/>
      <c r="AJ8" s="102">
        <f t="shared" si="13"/>
        <v>0</v>
      </c>
      <c r="AK8" s="104"/>
      <c r="AL8" s="102">
        <f t="shared" si="12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/>
      <c r="C9" s="37"/>
      <c r="D9" s="37" t="s">
        <v>53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 t="shared" si="5"/>
        <v>0</v>
      </c>
      <c r="T9" s="91">
        <v>5000</v>
      </c>
      <c r="U9" s="91">
        <f t="shared" si="6"/>
        <v>0</v>
      </c>
      <c r="V9" s="70"/>
      <c r="W9" s="70"/>
      <c r="X9" s="70"/>
      <c r="Y9" s="70"/>
      <c r="Z9" s="70"/>
      <c r="AA9" s="70"/>
      <c r="AB9" s="90">
        <f t="shared" si="7"/>
        <v>0</v>
      </c>
      <c r="AC9" s="90">
        <f t="shared" si="8"/>
        <v>0</v>
      </c>
      <c r="AD9" s="93">
        <f t="shared" si="9"/>
        <v>-5000</v>
      </c>
      <c r="AE9" s="94">
        <f>ROUND(MAX((AD9)*{0.03;0.1;0.2;0.25;0.3;0.35;0.45}-{0;2520;16920;31920;52920;85920;181920},0),2)</f>
        <v>0</v>
      </c>
      <c r="AF9" s="95">
        <v>0</v>
      </c>
      <c r="AG9" s="95">
        <f t="shared" si="10"/>
        <v>0</v>
      </c>
      <c r="AH9" s="102">
        <f t="shared" si="11"/>
        <v>0</v>
      </c>
      <c r="AI9" s="103"/>
      <c r="AJ9" s="102">
        <f t="shared" si="13"/>
        <v>0</v>
      </c>
      <c r="AK9" s="104"/>
      <c r="AL9" s="102">
        <f t="shared" si="12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/>
      <c r="C10" s="37"/>
      <c r="D10" s="37" t="s">
        <v>53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 t="shared" si="5"/>
        <v>0</v>
      </c>
      <c r="T10" s="91">
        <v>5000</v>
      </c>
      <c r="U10" s="91">
        <f t="shared" si="6"/>
        <v>0</v>
      </c>
      <c r="V10" s="70"/>
      <c r="W10" s="70"/>
      <c r="X10" s="70"/>
      <c r="Y10" s="70"/>
      <c r="Z10" s="70"/>
      <c r="AA10" s="70"/>
      <c r="AB10" s="90">
        <f t="shared" si="7"/>
        <v>0</v>
      </c>
      <c r="AC10" s="90">
        <f t="shared" si="8"/>
        <v>0</v>
      </c>
      <c r="AD10" s="93">
        <f t="shared" si="9"/>
        <v>-5000</v>
      </c>
      <c r="AE10" s="94">
        <f>ROUND(MAX((AD10)*{0.03;0.1;0.2;0.25;0.3;0.35;0.45}-{0;2520;16920;31920;52920;85920;181920},0),2)</f>
        <v>0</v>
      </c>
      <c r="AF10" s="95">
        <v>0</v>
      </c>
      <c r="AG10" s="95">
        <f t="shared" si="10"/>
        <v>0</v>
      </c>
      <c r="AH10" s="102">
        <f t="shared" si="11"/>
        <v>0</v>
      </c>
      <c r="AI10" s="103"/>
      <c r="AJ10" s="102">
        <f t="shared" si="13"/>
        <v>0</v>
      </c>
      <c r="AK10" s="104"/>
      <c r="AL10" s="102">
        <f t="shared" si="12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/>
      <c r="C11" s="37"/>
      <c r="D11" s="37" t="s">
        <v>53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 t="shared" si="5"/>
        <v>0</v>
      </c>
      <c r="T11" s="91">
        <v>5000</v>
      </c>
      <c r="U11" s="91">
        <f t="shared" si="6"/>
        <v>0</v>
      </c>
      <c r="V11" s="70"/>
      <c r="W11" s="70"/>
      <c r="X11" s="70"/>
      <c r="Y11" s="70"/>
      <c r="Z11" s="70"/>
      <c r="AA11" s="70"/>
      <c r="AB11" s="90">
        <f t="shared" si="7"/>
        <v>0</v>
      </c>
      <c r="AC11" s="90">
        <f t="shared" si="8"/>
        <v>0</v>
      </c>
      <c r="AD11" s="93">
        <f t="shared" si="9"/>
        <v>-5000</v>
      </c>
      <c r="AE11" s="94">
        <f>ROUND(MAX((AD11)*{0.03;0.1;0.2;0.25;0.3;0.35;0.45}-{0;2520;16920;31920;52920;85920;181920},0),2)</f>
        <v>0</v>
      </c>
      <c r="AF11" s="95">
        <v>0</v>
      </c>
      <c r="AG11" s="95">
        <f t="shared" si="10"/>
        <v>0</v>
      </c>
      <c r="AH11" s="102">
        <f t="shared" si="11"/>
        <v>0</v>
      </c>
      <c r="AI11" s="103"/>
      <c r="AJ11" s="102">
        <f t="shared" si="13"/>
        <v>0</v>
      </c>
      <c r="AK11" s="104"/>
      <c r="AL11" s="102">
        <f t="shared" si="12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/>
      <c r="C12" s="37"/>
      <c r="D12" s="37" t="s">
        <v>53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 t="shared" si="5"/>
        <v>0</v>
      </c>
      <c r="T12" s="91">
        <v>5000</v>
      </c>
      <c r="U12" s="91">
        <f t="shared" si="6"/>
        <v>0</v>
      </c>
      <c r="V12" s="70"/>
      <c r="W12" s="70"/>
      <c r="X12" s="70"/>
      <c r="Y12" s="70"/>
      <c r="Z12" s="70"/>
      <c r="AA12" s="70"/>
      <c r="AB12" s="90">
        <f t="shared" si="7"/>
        <v>0</v>
      </c>
      <c r="AC12" s="90">
        <f t="shared" si="8"/>
        <v>0</v>
      </c>
      <c r="AD12" s="93">
        <f t="shared" si="9"/>
        <v>-5000</v>
      </c>
      <c r="AE12" s="94">
        <f>ROUND(MAX((AD12)*{0.03;0.1;0.2;0.25;0.3;0.35;0.45}-{0;2520;16920;31920;52920;85920;181920},0),2)</f>
        <v>0</v>
      </c>
      <c r="AF12" s="95">
        <v>0</v>
      </c>
      <c r="AG12" s="95">
        <f t="shared" si="10"/>
        <v>0</v>
      </c>
      <c r="AH12" s="102">
        <f t="shared" si="11"/>
        <v>0</v>
      </c>
      <c r="AI12" s="103"/>
      <c r="AJ12" s="102">
        <f t="shared" si="13"/>
        <v>0</v>
      </c>
      <c r="AK12" s="104"/>
      <c r="AL12" s="102">
        <f t="shared" si="12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/>
      <c r="C13" s="37"/>
      <c r="D13" s="37" t="s">
        <v>53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 t="shared" si="5"/>
        <v>0</v>
      </c>
      <c r="T13" s="91">
        <v>5000</v>
      </c>
      <c r="U13" s="91">
        <f t="shared" si="6"/>
        <v>0</v>
      </c>
      <c r="V13" s="70"/>
      <c r="W13" s="70"/>
      <c r="X13" s="70"/>
      <c r="Y13" s="70"/>
      <c r="Z13" s="70"/>
      <c r="AA13" s="70"/>
      <c r="AB13" s="90">
        <f t="shared" si="7"/>
        <v>0</v>
      </c>
      <c r="AC13" s="90">
        <f t="shared" si="8"/>
        <v>0</v>
      </c>
      <c r="AD13" s="93">
        <f t="shared" si="9"/>
        <v>-5000</v>
      </c>
      <c r="AE13" s="94">
        <f>ROUND(MAX((AD13)*{0.03;0.1;0.2;0.25;0.3;0.35;0.45}-{0;2520;16920;31920;52920;85920;181920},0),2)</f>
        <v>0</v>
      </c>
      <c r="AF13" s="95">
        <v>0</v>
      </c>
      <c r="AG13" s="95">
        <f t="shared" si="10"/>
        <v>0</v>
      </c>
      <c r="AH13" s="102">
        <f t="shared" si="11"/>
        <v>0</v>
      </c>
      <c r="AI13" s="103"/>
      <c r="AJ13" s="102">
        <f t="shared" si="13"/>
        <v>0</v>
      </c>
      <c r="AK13" s="104"/>
      <c r="AL13" s="102">
        <f t="shared" si="12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/>
      <c r="C14" s="37"/>
      <c r="D14" s="37" t="s">
        <v>53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 t="shared" si="5"/>
        <v>0</v>
      </c>
      <c r="T14" s="91">
        <v>5000</v>
      </c>
      <c r="U14" s="91">
        <f t="shared" si="6"/>
        <v>0</v>
      </c>
      <c r="V14" s="70"/>
      <c r="W14" s="70"/>
      <c r="X14" s="70"/>
      <c r="Y14" s="70"/>
      <c r="Z14" s="70"/>
      <c r="AA14" s="70"/>
      <c r="AB14" s="90">
        <f t="shared" si="7"/>
        <v>0</v>
      </c>
      <c r="AC14" s="90">
        <f t="shared" si="8"/>
        <v>0</v>
      </c>
      <c r="AD14" s="93">
        <f t="shared" si="9"/>
        <v>-5000</v>
      </c>
      <c r="AE14" s="94">
        <f>ROUND(MAX((AD14)*{0.03;0.1;0.2;0.25;0.3;0.35;0.45}-{0;2520;16920;31920;52920;85920;181920},0),2)</f>
        <v>0</v>
      </c>
      <c r="AF14" s="95">
        <v>0</v>
      </c>
      <c r="AG14" s="95">
        <f t="shared" si="10"/>
        <v>0</v>
      </c>
      <c r="AH14" s="102">
        <f t="shared" si="11"/>
        <v>0</v>
      </c>
      <c r="AI14" s="103"/>
      <c r="AJ14" s="102">
        <f t="shared" si="13"/>
        <v>0</v>
      </c>
      <c r="AK14" s="104"/>
      <c r="AL14" s="102">
        <f t="shared" si="12"/>
        <v>0</v>
      </c>
      <c r="AM14" s="104"/>
      <c r="AN14" s="104"/>
      <c r="AO14" s="104"/>
      <c r="AP14" s="104"/>
      <c r="AQ14" s="104"/>
      <c r="AR14" s="111" t="str">
        <f t="shared" si="1"/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/>
      <c r="C15" s="37"/>
      <c r="D15" s="37" t="s">
        <v>53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 t="shared" si="5"/>
        <v>0</v>
      </c>
      <c r="T15" s="91">
        <v>5000</v>
      </c>
      <c r="U15" s="91">
        <f t="shared" si="6"/>
        <v>0</v>
      </c>
      <c r="V15" s="70"/>
      <c r="W15" s="70"/>
      <c r="X15" s="70"/>
      <c r="Y15" s="70"/>
      <c r="Z15" s="70"/>
      <c r="AA15" s="70"/>
      <c r="AB15" s="90">
        <f t="shared" si="7"/>
        <v>0</v>
      </c>
      <c r="AC15" s="90">
        <f t="shared" si="8"/>
        <v>0</v>
      </c>
      <c r="AD15" s="93">
        <f t="shared" si="9"/>
        <v>-5000</v>
      </c>
      <c r="AE15" s="94">
        <f>ROUND(MAX((AD15)*{0.03;0.1;0.2;0.25;0.3;0.35;0.45}-{0;2520;16920;31920;52920;85920;181920},0),2)</f>
        <v>0</v>
      </c>
      <c r="AF15" s="95">
        <v>0</v>
      </c>
      <c r="AG15" s="95">
        <f t="shared" si="10"/>
        <v>0</v>
      </c>
      <c r="AH15" s="102">
        <f t="shared" si="11"/>
        <v>0</v>
      </c>
      <c r="AI15" s="103"/>
      <c r="AJ15" s="102">
        <f t="shared" si="13"/>
        <v>0</v>
      </c>
      <c r="AK15" s="104"/>
      <c r="AL15" s="102">
        <f t="shared" si="12"/>
        <v>0</v>
      </c>
      <c r="AM15" s="104"/>
      <c r="AN15" s="104"/>
      <c r="AO15" s="104"/>
      <c r="AP15" s="104"/>
      <c r="AQ15" s="104"/>
      <c r="AR15" s="111" t="str">
        <f t="shared" si="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/>
      <c r="C16" s="37"/>
      <c r="D16" s="37" t="s">
        <v>53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 t="shared" si="5"/>
        <v>0</v>
      </c>
      <c r="T16" s="91">
        <v>5000</v>
      </c>
      <c r="U16" s="91">
        <f t="shared" si="6"/>
        <v>0</v>
      </c>
      <c r="V16" s="70"/>
      <c r="W16" s="70"/>
      <c r="X16" s="70"/>
      <c r="Y16" s="70"/>
      <c r="Z16" s="70"/>
      <c r="AA16" s="70"/>
      <c r="AB16" s="90">
        <f t="shared" si="7"/>
        <v>0</v>
      </c>
      <c r="AC16" s="90">
        <f t="shared" si="8"/>
        <v>0</v>
      </c>
      <c r="AD16" s="93">
        <f t="shared" si="9"/>
        <v>-5000</v>
      </c>
      <c r="AE16" s="94">
        <f>ROUND(MAX((AD16)*{0.03;0.1;0.2;0.25;0.3;0.35;0.45}-{0;2520;16920;31920;52920;85920;181920},0),2)</f>
        <v>0</v>
      </c>
      <c r="AF16" s="95">
        <v>0</v>
      </c>
      <c r="AG16" s="95">
        <f t="shared" si="10"/>
        <v>0</v>
      </c>
      <c r="AH16" s="102">
        <f t="shared" si="11"/>
        <v>0</v>
      </c>
      <c r="AI16" s="103"/>
      <c r="AJ16" s="102">
        <f t="shared" si="13"/>
        <v>0</v>
      </c>
      <c r="AK16" s="104"/>
      <c r="AL16" s="102">
        <f t="shared" si="12"/>
        <v>0</v>
      </c>
      <c r="AM16" s="104"/>
      <c r="AN16" s="104"/>
      <c r="AO16" s="104"/>
      <c r="AP16" s="104"/>
      <c r="AQ16" s="104"/>
      <c r="AR16" s="111" t="str">
        <f t="shared" si="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/>
      <c r="C17" s="37"/>
      <c r="D17" s="37" t="s">
        <v>53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 t="shared" si="5"/>
        <v>0</v>
      </c>
      <c r="T17" s="91">
        <v>5000</v>
      </c>
      <c r="U17" s="91">
        <f t="shared" si="6"/>
        <v>0</v>
      </c>
      <c r="V17" s="70"/>
      <c r="W17" s="70"/>
      <c r="X17" s="70"/>
      <c r="Y17" s="70"/>
      <c r="Z17" s="70"/>
      <c r="AA17" s="70"/>
      <c r="AB17" s="90">
        <f t="shared" si="7"/>
        <v>0</v>
      </c>
      <c r="AC17" s="90">
        <f t="shared" si="8"/>
        <v>0</v>
      </c>
      <c r="AD17" s="93">
        <f t="shared" si="9"/>
        <v>-5000</v>
      </c>
      <c r="AE17" s="94">
        <f>ROUND(MAX((AD17)*{0.03;0.1;0.2;0.25;0.3;0.35;0.45}-{0;2520;16920;31920;52920;85920;181920},0),2)</f>
        <v>0</v>
      </c>
      <c r="AF17" s="95">
        <v>0</v>
      </c>
      <c r="AG17" s="95">
        <f t="shared" si="10"/>
        <v>0</v>
      </c>
      <c r="AH17" s="102">
        <f t="shared" si="11"/>
        <v>0</v>
      </c>
      <c r="AI17" s="103"/>
      <c r="AJ17" s="102">
        <f t="shared" si="13"/>
        <v>0</v>
      </c>
      <c r="AK17" s="104"/>
      <c r="AL17" s="102">
        <f t="shared" si="12"/>
        <v>0</v>
      </c>
      <c r="AM17" s="104"/>
      <c r="AN17" s="104"/>
      <c r="AO17" s="104"/>
      <c r="AP17" s="104"/>
      <c r="AQ17" s="104"/>
      <c r="AR17" s="111" t="str">
        <f t="shared" si="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/>
      <c r="C18" s="37"/>
      <c r="D18" s="37" t="s">
        <v>53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 t="shared" si="5"/>
        <v>0</v>
      </c>
      <c r="T18" s="91">
        <v>5000</v>
      </c>
      <c r="U18" s="91">
        <f t="shared" si="6"/>
        <v>0</v>
      </c>
      <c r="V18" s="70"/>
      <c r="W18" s="70"/>
      <c r="X18" s="70"/>
      <c r="Y18" s="70"/>
      <c r="Z18" s="70"/>
      <c r="AA18" s="70"/>
      <c r="AB18" s="90">
        <f t="shared" si="7"/>
        <v>0</v>
      </c>
      <c r="AC18" s="90">
        <f t="shared" si="8"/>
        <v>0</v>
      </c>
      <c r="AD18" s="93">
        <f t="shared" si="9"/>
        <v>-5000</v>
      </c>
      <c r="AE18" s="94">
        <f>ROUND(MAX((AD18)*{0.03;0.1;0.2;0.25;0.3;0.35;0.45}-{0;2520;16920;31920;52920;85920;181920},0),2)</f>
        <v>0</v>
      </c>
      <c r="AF18" s="95">
        <v>0</v>
      </c>
      <c r="AG18" s="95">
        <f t="shared" si="10"/>
        <v>0</v>
      </c>
      <c r="AH18" s="102">
        <f t="shared" si="11"/>
        <v>0</v>
      </c>
      <c r="AI18" s="103"/>
      <c r="AJ18" s="102">
        <f t="shared" si="13"/>
        <v>0</v>
      </c>
      <c r="AK18" s="104"/>
      <c r="AL18" s="102">
        <f t="shared" si="12"/>
        <v>0</v>
      </c>
      <c r="AM18" s="104"/>
      <c r="AN18" s="104"/>
      <c r="AO18" s="104"/>
      <c r="AP18" s="104"/>
      <c r="AQ18" s="104"/>
      <c r="AR18" s="111" t="str">
        <f t="shared" si="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/>
      <c r="C19" s="37"/>
      <c r="D19" s="37" t="s">
        <v>53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 t="shared" si="5"/>
        <v>0</v>
      </c>
      <c r="T19" s="91">
        <v>5000</v>
      </c>
      <c r="U19" s="91">
        <f t="shared" si="6"/>
        <v>0</v>
      </c>
      <c r="V19" s="70"/>
      <c r="W19" s="70"/>
      <c r="X19" s="70"/>
      <c r="Y19" s="70"/>
      <c r="Z19" s="70"/>
      <c r="AA19" s="70"/>
      <c r="AB19" s="90">
        <f t="shared" si="7"/>
        <v>0</v>
      </c>
      <c r="AC19" s="90">
        <f t="shared" si="8"/>
        <v>0</v>
      </c>
      <c r="AD19" s="93">
        <f t="shared" si="9"/>
        <v>-5000</v>
      </c>
      <c r="AE19" s="94">
        <f>ROUND(MAX((AD19)*{0.03;0.1;0.2;0.25;0.3;0.35;0.45}-{0;2520;16920;31920;52920;85920;181920},0),2)</f>
        <v>0</v>
      </c>
      <c r="AF19" s="95">
        <v>0</v>
      </c>
      <c r="AG19" s="95">
        <f t="shared" si="10"/>
        <v>0</v>
      </c>
      <c r="AH19" s="102">
        <f t="shared" si="11"/>
        <v>0</v>
      </c>
      <c r="AI19" s="103"/>
      <c r="AJ19" s="102">
        <f t="shared" si="13"/>
        <v>0</v>
      </c>
      <c r="AK19" s="104"/>
      <c r="AL19" s="102">
        <f t="shared" si="12"/>
        <v>0</v>
      </c>
      <c r="AM19" s="104"/>
      <c r="AN19" s="104"/>
      <c r="AO19" s="104"/>
      <c r="AP19" s="104"/>
      <c r="AQ19" s="104"/>
      <c r="AR19" s="111" t="str">
        <f t="shared" si="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/>
      <c r="C20" s="37"/>
      <c r="D20" s="37" t="s">
        <v>53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 t="shared" si="5"/>
        <v>0</v>
      </c>
      <c r="T20" s="91">
        <v>5000</v>
      </c>
      <c r="U20" s="91">
        <f t="shared" si="6"/>
        <v>0</v>
      </c>
      <c r="V20" s="70"/>
      <c r="W20" s="70"/>
      <c r="X20" s="70"/>
      <c r="Y20" s="70"/>
      <c r="Z20" s="70"/>
      <c r="AA20" s="70"/>
      <c r="AB20" s="90">
        <f t="shared" si="7"/>
        <v>0</v>
      </c>
      <c r="AC20" s="90">
        <f t="shared" si="8"/>
        <v>0</v>
      </c>
      <c r="AD20" s="93">
        <f t="shared" si="9"/>
        <v>-5000</v>
      </c>
      <c r="AE20" s="94">
        <f>ROUND(MAX((AD20)*{0.03;0.1;0.2;0.25;0.3;0.35;0.45}-{0;2520;16920;31920;52920;85920;181920},0),2)</f>
        <v>0</v>
      </c>
      <c r="AF20" s="95">
        <v>0</v>
      </c>
      <c r="AG20" s="95">
        <f t="shared" si="10"/>
        <v>0</v>
      </c>
      <c r="AH20" s="102">
        <f t="shared" si="11"/>
        <v>0</v>
      </c>
      <c r="AI20" s="103"/>
      <c r="AJ20" s="102">
        <f t="shared" si="13"/>
        <v>0</v>
      </c>
      <c r="AK20" s="104"/>
      <c r="AL20" s="102">
        <f t="shared" si="12"/>
        <v>0</v>
      </c>
      <c r="AM20" s="104"/>
      <c r="AN20" s="104"/>
      <c r="AO20" s="104"/>
      <c r="AP20" s="104"/>
      <c r="AQ20" s="104"/>
      <c r="AR20" s="111" t="str">
        <f t="shared" si="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3" customFormat="1" ht="18" customHeight="1" spans="1:46">
      <c r="A21" s="41"/>
      <c r="B21" s="42" t="s">
        <v>54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14">SUM(L4:L20)</f>
        <v>0</v>
      </c>
      <c r="M21" s="74">
        <f t="shared" si="14"/>
        <v>0</v>
      </c>
      <c r="N21" s="74">
        <f t="shared" si="14"/>
        <v>0</v>
      </c>
      <c r="O21" s="74">
        <f t="shared" si="14"/>
        <v>0</v>
      </c>
      <c r="P21" s="74">
        <f t="shared" si="14"/>
        <v>0</v>
      </c>
      <c r="Q21" s="74">
        <f t="shared" si="14"/>
        <v>0</v>
      </c>
      <c r="R21" s="74">
        <f t="shared" si="14"/>
        <v>0</v>
      </c>
      <c r="S21" s="74">
        <f t="shared" si="14"/>
        <v>0</v>
      </c>
      <c r="T21" s="74">
        <f t="shared" si="14"/>
        <v>85000</v>
      </c>
      <c r="U21" s="74">
        <f t="shared" si="14"/>
        <v>0</v>
      </c>
      <c r="V21" s="74">
        <f t="shared" si="14"/>
        <v>0</v>
      </c>
      <c r="W21" s="74">
        <f t="shared" si="14"/>
        <v>0</v>
      </c>
      <c r="X21" s="74">
        <f t="shared" si="14"/>
        <v>0</v>
      </c>
      <c r="Y21" s="74">
        <f t="shared" si="14"/>
        <v>0</v>
      </c>
      <c r="Z21" s="74">
        <f t="shared" si="14"/>
        <v>0</v>
      </c>
      <c r="AA21" s="74">
        <f t="shared" si="14"/>
        <v>0</v>
      </c>
      <c r="AB21" s="74">
        <f t="shared" si="14"/>
        <v>0</v>
      </c>
      <c r="AC21" s="74">
        <f t="shared" si="14"/>
        <v>0</v>
      </c>
      <c r="AD21" s="74">
        <f t="shared" si="14"/>
        <v>-85000</v>
      </c>
      <c r="AE21" s="74">
        <f t="shared" si="14"/>
        <v>0</v>
      </c>
      <c r="AF21" s="74">
        <f t="shared" si="14"/>
        <v>0</v>
      </c>
      <c r="AG21" s="74">
        <f t="shared" si="14"/>
        <v>0</v>
      </c>
      <c r="AH21" s="74">
        <f t="shared" si="14"/>
        <v>0</v>
      </c>
      <c r="AI21" s="105">
        <f t="shared" si="14"/>
        <v>0</v>
      </c>
      <c r="AJ21" s="74">
        <f t="shared" si="14"/>
        <v>0</v>
      </c>
      <c r="AK21" s="74">
        <f t="shared" si="14"/>
        <v>0</v>
      </c>
      <c r="AL21" s="74">
        <f t="shared" si="14"/>
        <v>0</v>
      </c>
      <c r="AM21" s="106"/>
      <c r="AN21" s="106"/>
      <c r="AO21" s="106"/>
      <c r="AP21" s="106"/>
      <c r="AQ21" s="106"/>
      <c r="AR21" s="45"/>
      <c r="AS21" s="45"/>
      <c r="AT21" s="112"/>
    </row>
    <row r="24" spans="30:30">
      <c r="AD24" s="96"/>
    </row>
    <row r="25" ht="18.75" customHeight="1" spans="2:30">
      <c r="B25" s="47" t="s">
        <v>29</v>
      </c>
      <c r="C25" s="47" t="s">
        <v>55</v>
      </c>
      <c r="D25" s="47" t="s">
        <v>30</v>
      </c>
      <c r="E25" s="47" t="s">
        <v>56</v>
      </c>
      <c r="AD25" s="10"/>
    </row>
    <row r="26" ht="18.75" customHeight="1" spans="2:5">
      <c r="B26" s="48">
        <f>AJ21</f>
        <v>0</v>
      </c>
      <c r="C26" s="48">
        <f>AG21</f>
        <v>0</v>
      </c>
      <c r="D26" s="48">
        <f>AK21</f>
        <v>0</v>
      </c>
      <c r="E26" s="48">
        <f>B26+C26+D26</f>
        <v>0</v>
      </c>
    </row>
    <row r="27" spans="2:5">
      <c r="B27" s="49"/>
      <c r="C27" s="49"/>
      <c r="D27" s="49"/>
      <c r="E27" s="49"/>
    </row>
    <row r="28" s="14" customFormat="1" spans="1:35">
      <c r="A28" s="50" t="s">
        <v>57</v>
      </c>
      <c r="B28" s="51" t="s">
        <v>58</v>
      </c>
      <c r="C28" s="52"/>
      <c r="D28" s="52"/>
      <c r="E28" s="52"/>
      <c r="G28" s="53"/>
      <c r="J28" s="75"/>
      <c r="M28" s="76"/>
      <c r="AI28" s="107"/>
    </row>
    <row r="29" s="14" customFormat="1" spans="1:35">
      <c r="A29" s="54"/>
      <c r="B29" s="55" t="s">
        <v>59</v>
      </c>
      <c r="C29" s="52"/>
      <c r="D29" s="52"/>
      <c r="E29" s="52"/>
      <c r="G29" s="53"/>
      <c r="J29" s="75"/>
      <c r="M29" s="76"/>
      <c r="AI29" s="107"/>
    </row>
    <row r="30" s="14" customFormat="1" spans="1:35">
      <c r="A30" s="51"/>
      <c r="B30" s="55" t="s">
        <v>60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07"/>
    </row>
    <row r="31" s="14" customFormat="1" customHeight="1" spans="1:35">
      <c r="A31" s="55"/>
      <c r="B31" s="55" t="s">
        <v>61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07"/>
    </row>
    <row r="32" s="14" customFormat="1" customHeight="1" spans="1:35">
      <c r="A32" s="55"/>
      <c r="B32" s="55" t="s">
        <v>62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07"/>
    </row>
    <row r="33" s="14" customFormat="1" customHeight="1" spans="1:35">
      <c r="A33" s="55"/>
      <c r="B33" s="55" t="s">
        <v>63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07"/>
    </row>
    <row r="35" ht="11.25" customHeight="1" spans="2:2">
      <c r="B35" s="58" t="s">
        <v>64</v>
      </c>
    </row>
    <row r="36" spans="2:2">
      <c r="B36" s="59" t="s">
        <v>65</v>
      </c>
    </row>
    <row r="37" spans="2:2">
      <c r="B37" s="59" t="s">
        <v>66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0" priority="10" stopIfTrue="1"/>
  </conditionalFormatting>
  <conditionalFormatting sqref="B28:B32">
    <cfRule type="duplicateValues" dxfId="0" priority="13" stopIfTrue="1"/>
  </conditionalFormatting>
  <conditionalFormatting sqref="B36:B37">
    <cfRule type="duplicateValues" dxfId="0" priority="1" stopIfTrue="1"/>
  </conditionalFormatting>
  <conditionalFormatting sqref="C25:C27">
    <cfRule type="duplicateValues" dxfId="0" priority="17" stopIfTrue="1"/>
    <cfRule type="expression" dxfId="1" priority="19" stopIfTrue="1">
      <formula>AND(COUNTIF($B$21:$B$65457,C25)+COUNTIF($B$1:$B$3,C25)&gt;1,NOT(ISBLANK(C25)))</formula>
    </cfRule>
    <cfRule type="expression" dxfId="1" priority="21" stopIfTrue="1">
      <formula>AND(COUNTIF($B$32:$B$65408,C25)+COUNTIF($B$1:$B$31,C25)&gt;1,NOT(ISBLANK(C25)))</formula>
    </cfRule>
    <cfRule type="expression" dxfId="1" priority="23" stopIfTrue="1">
      <formula>AND(COUNTIF($B$21:$B$65446,C25)+COUNTIF($B$1:$B$3,C25)&gt;1,NOT(ISBLANK(C25)))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L4+IFERROR(VLOOKUP($E:$E,'（居民）工资表-7月'!$E:$S,15,0),0)</f>
        <v>12000</v>
      </c>
      <c r="T4" s="91">
        <f>5000+IFERROR(VLOOKUP($E:$E,'（居民）工资表-7月'!$E:$T,16,0),0)</f>
        <v>20000</v>
      </c>
      <c r="U4" s="91">
        <f>Q4+IFERROR(VLOOKUP($E:$E,'（居民）工资表-7月'!$E:$U,17,0),0)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L5+IFERROR(VLOOKUP($E:$E,'（居民）工资表-7月'!$E:$S,15,0),0)</f>
        <v>16000</v>
      </c>
      <c r="T5" s="91">
        <f>5000+IFERROR(VLOOKUP($E:$E,'（居民）工资表-7月'!$E:$T,16,0),0)</f>
        <v>20000</v>
      </c>
      <c r="U5" s="91">
        <f>Q5+IFERROR(VLOOKUP($E:$E,'（居民）工资表-7月'!$E:$U,17,0),0)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R5+IFERROR(VLOOKUP($E:$E,'（居民）工资表-7月'!$E:$AC,25,0),0)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L6+IFERROR(VLOOKUP($E:$E,'（居民）工资表-7月'!$E:$S,15,0),0)</f>
        <v>20000</v>
      </c>
      <c r="T6" s="91">
        <f>5000+IFERROR(VLOOKUP($E:$E,'（居民）工资表-7月'!$E:$T,16,0),0)</f>
        <v>20000</v>
      </c>
      <c r="U6" s="91">
        <f>Q6+IFERROR(VLOOKUP($E:$E,'（居民）工资表-7月'!$E:$U,17,0),0)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R6+IFERROR(VLOOKUP($E:$E,'（居民）工资表-7月'!$E:$AC,25,0),0)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L7+IFERROR(VLOOKUP($E:$E,'（居民）工资表-7月'!$E:$S,15,0),0)</f>
        <v>24000</v>
      </c>
      <c r="T7" s="91">
        <f>5000+IFERROR(VLOOKUP($E:$E,'（居民）工资表-7月'!$E:$T,16,0),0)</f>
        <v>20000</v>
      </c>
      <c r="U7" s="91">
        <f>Q7+IFERROR(VLOOKUP($E:$E,'（居民）工资表-7月'!$E:$U,17,0),0)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R7+IFERROR(VLOOKUP($E:$E,'（居民）工资表-7月'!$E:$AC,25,0),0)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L8+IFERROR(VLOOKUP($E:$E,'（居民）工资表-7月'!$E:$S,15,0),0)</f>
        <v>28000</v>
      </c>
      <c r="T8" s="91">
        <f>5000+IFERROR(VLOOKUP($E:$E,'（居民）工资表-7月'!$E:$T,16,0),0)</f>
        <v>20000</v>
      </c>
      <c r="U8" s="91">
        <f>Q8+IFERROR(VLOOKUP($E:$E,'（居民）工资表-7月'!$E:$U,17,0),0)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R8+IFERROR(VLOOKUP($E:$E,'（居民）工资表-7月'!$E:$AC,25,0),0)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IFERROR(VLOOKUP(E:E,'（居民）工资表-7月'!E:AF,28,0)+VLOOKUP(E:E,'（居民）工资表-7月'!E:AG,29,0),0)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L9+IFERROR(VLOOKUP($E:$E,'（居民）工资表-7月'!$E:$S,15,0),0)</f>
        <v>32000</v>
      </c>
      <c r="T9" s="91">
        <f>5000+IFERROR(VLOOKUP($E:$E,'（居民）工资表-7月'!$E:$T,16,0),0)</f>
        <v>20000</v>
      </c>
      <c r="U9" s="91">
        <f>Q9+IFERROR(VLOOKUP($E:$E,'（居民）工资表-7月'!$E:$U,17,0),0)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R9+IFERROR(VLOOKUP($E:$E,'（居民）工资表-7月'!$E:$AC,25,0),0)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IFERROR(VLOOKUP(E:E,'（居民）工资表-7月'!E:AF,28,0)+VLOOKUP(E:E,'（居民）工资表-7月'!E:AG,29,0),0)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L10+IFERROR(VLOOKUP($E:$E,'（居民）工资表-7月'!$E:$S,15,0),0)</f>
        <v>36000</v>
      </c>
      <c r="T10" s="91">
        <f>5000+IFERROR(VLOOKUP($E:$E,'（居民）工资表-7月'!$E:$T,16,0),0)</f>
        <v>20000</v>
      </c>
      <c r="U10" s="91">
        <f>Q10+IFERROR(VLOOKUP($E:$E,'（居民）工资表-7月'!$E:$U,17,0),0)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R10+IFERROR(VLOOKUP($E:$E,'（居民）工资表-7月'!$E:$AC,25,0),0)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IFERROR(VLOOKUP(E:E,'（居民）工资表-7月'!E:AF,28,0)+VLOOKUP(E:E,'（居民）工资表-7月'!E:AG,29,0),0)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L11+IFERROR(VLOOKUP($E:$E,'（居民）工资表-7月'!$E:$S,15,0),0)</f>
        <v>40000</v>
      </c>
      <c r="T11" s="91">
        <f>5000+IFERROR(VLOOKUP($E:$E,'（居民）工资表-7月'!$E:$T,16,0),0)</f>
        <v>20000</v>
      </c>
      <c r="U11" s="91">
        <f>Q11+IFERROR(VLOOKUP($E:$E,'（居民）工资表-7月'!$E:$U,17,0),0)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R11+IFERROR(VLOOKUP($E:$E,'（居民）工资表-7月'!$E:$AC,25,0),0)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IFERROR(VLOOKUP(E:E,'（居民）工资表-7月'!E:AF,28,0)+VLOOKUP(E:E,'（居民）工资表-7月'!E:AG,29,0),0)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L12+IFERROR(VLOOKUP($E:$E,'（居民）工资表-7月'!$E:$S,15,0),0)</f>
        <v>44000</v>
      </c>
      <c r="T12" s="91">
        <f>5000+IFERROR(VLOOKUP($E:$E,'（居民）工资表-7月'!$E:$T,16,0),0)</f>
        <v>20000</v>
      </c>
      <c r="U12" s="91">
        <f>Q12+IFERROR(VLOOKUP($E:$E,'（居民）工资表-7月'!$E:$U,17,0),0)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R12+IFERROR(VLOOKUP($E:$E,'（居民）工资表-7月'!$E:$AC,25,0),0)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IFERROR(VLOOKUP(E:E,'（居民）工资表-7月'!E:AF,28,0)+VLOOKUP(E:E,'（居民）工资表-7月'!E:AG,29,0),0)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L13+IFERROR(VLOOKUP($E:$E,'（居民）工资表-7月'!$E:$S,15,0),0)</f>
        <v>48000</v>
      </c>
      <c r="T13" s="91">
        <f>5000+IFERROR(VLOOKUP($E:$E,'（居民）工资表-7月'!$E:$T,16,0),0)</f>
        <v>20000</v>
      </c>
      <c r="U13" s="91">
        <f>Q13+IFERROR(VLOOKUP($E:$E,'（居民）工资表-7月'!$E:$U,17,0),0)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R13+IFERROR(VLOOKUP($E:$E,'（居民）工资表-7月'!$E:$AC,25,0),0)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IFERROR(VLOOKUP(E:E,'（居民）工资表-7月'!E:AF,28,0)+VLOOKUP(E:E,'（居民）工资表-7月'!E:AG,29,0),0)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L14+IFERROR(VLOOKUP($E:$E,'（居民）工资表-7月'!$E:$S,15,0),0)</f>
        <v>52000</v>
      </c>
      <c r="T14" s="91">
        <f>5000+IFERROR(VLOOKUP($E:$E,'（居民）工资表-7月'!$E:$T,16,0),0)</f>
        <v>20000</v>
      </c>
      <c r="U14" s="91">
        <f>Q14+IFERROR(VLOOKUP($E:$E,'（居民）工资表-7月'!$E:$U,17,0),0)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R14+IFERROR(VLOOKUP($E:$E,'（居民）工资表-7月'!$E:$AC,25,0),0)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IFERROR(VLOOKUP(E:E,'（居民）工资表-7月'!E:AF,28,0)+VLOOKUP(E:E,'（居民）工资表-7月'!E:AG,29,0),0)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L15+IFERROR(VLOOKUP($E:$E,'（居民）工资表-7月'!$E:$S,15,0),0)</f>
        <v>56000</v>
      </c>
      <c r="T15" s="91">
        <f>5000+IFERROR(VLOOKUP($E:$E,'（居民）工资表-7月'!$E:$T,16,0),0)</f>
        <v>20000</v>
      </c>
      <c r="U15" s="91">
        <f>Q15+IFERROR(VLOOKUP($E:$E,'（居民）工资表-7月'!$E:$U,17,0),0)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R15+IFERROR(VLOOKUP($E:$E,'（居民）工资表-7月'!$E:$AC,25,0),0)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IFERROR(VLOOKUP(E:E,'（居民）工资表-7月'!E:AF,28,0)+VLOOKUP(E:E,'（居民）工资表-7月'!E:AG,29,0),0)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L16+IFERROR(VLOOKUP($E:$E,'（居民）工资表-7月'!$E:$S,15,0),0)</f>
        <v>60000</v>
      </c>
      <c r="T16" s="91">
        <f>5000+IFERROR(VLOOKUP($E:$E,'（居民）工资表-7月'!$E:$T,16,0),0)</f>
        <v>20000</v>
      </c>
      <c r="U16" s="91">
        <f>Q16+IFERROR(VLOOKUP($E:$E,'（居民）工资表-7月'!$E:$U,17,0),0)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R16+IFERROR(VLOOKUP($E:$E,'（居民）工资表-7月'!$E:$AC,25,0),0)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IFERROR(VLOOKUP(E:E,'（居民）工资表-7月'!E:AF,28,0)+VLOOKUP(E:E,'（居民）工资表-7月'!E:AG,29,0),0)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L17+IFERROR(VLOOKUP($E:$E,'（居民）工资表-7月'!$E:$S,15,0),0)</f>
        <v>64000</v>
      </c>
      <c r="T17" s="91">
        <f>5000+IFERROR(VLOOKUP($E:$E,'（居民）工资表-7月'!$E:$T,16,0),0)</f>
        <v>20000</v>
      </c>
      <c r="U17" s="91">
        <f>Q17+IFERROR(VLOOKUP($E:$E,'（居民）工资表-7月'!$E:$U,17,0),0)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R17+IFERROR(VLOOKUP($E:$E,'（居民）工资表-7月'!$E:$AC,25,0),0)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IFERROR(VLOOKUP(E:E,'（居民）工资表-7月'!E:AF,28,0)+VLOOKUP(E:E,'（居民）工资表-7月'!E:AG,29,0),0)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L18+IFERROR(VLOOKUP($E:$E,'（居民）工资表-7月'!$E:$S,15,0),0)</f>
        <v>68000</v>
      </c>
      <c r="T18" s="91">
        <f>5000+IFERROR(VLOOKUP($E:$E,'（居民）工资表-7月'!$E:$T,16,0),0)</f>
        <v>20000</v>
      </c>
      <c r="U18" s="91">
        <f>Q18+IFERROR(VLOOKUP($E:$E,'（居民）工资表-7月'!$E:$U,17,0),0)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R18+IFERROR(VLOOKUP($E:$E,'（居民）工资表-7月'!$E:$AC,25,0),0)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IFERROR(VLOOKUP(E:E,'（居民）工资表-7月'!E:AF,28,0)+VLOOKUP(E:E,'（居民）工资表-7月'!E:AG,29,0),0)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L19+IFERROR(VLOOKUP($E:$E,'（居民）工资表-7月'!$E:$S,15,0),0)</f>
        <v>72000</v>
      </c>
      <c r="T19" s="91">
        <f>5000+IFERROR(VLOOKUP($E:$E,'（居民）工资表-7月'!$E:$T,16,0),0)</f>
        <v>20000</v>
      </c>
      <c r="U19" s="91">
        <f>Q19+IFERROR(VLOOKUP($E:$E,'（居民）工资表-7月'!$E:$U,17,0),0)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R19+IFERROR(VLOOKUP($E:$E,'（居民）工资表-7月'!$E:$AC,25,0),0)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IFERROR(VLOOKUP(E:E,'（居民）工资表-7月'!E:AF,28,0)+VLOOKUP(E:E,'（居民）工资表-7月'!E:AG,29,0),0)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L20+IFERROR(VLOOKUP($E:$E,'（居民）工资表-7月'!$E:$S,15,0),0)</f>
        <v>76000</v>
      </c>
      <c r="T20" s="91">
        <f>5000+IFERROR(VLOOKUP($E:$E,'（居民）工资表-7月'!$E:$T,16,0),0)</f>
        <v>20000</v>
      </c>
      <c r="U20" s="91">
        <f>Q20+IFERROR(VLOOKUP($E:$E,'（居民）工资表-7月'!$E:$U,17,0),0)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R20+IFERROR(VLOOKUP($E:$E,'（居民）工资表-7月'!$E:$AC,25,0),0)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IFERROR(VLOOKUP(E:E,'（居民）工资表-7月'!E:AF,28,0)+VLOOKUP(E:E,'（居民）工资表-7月'!E:AG,29,0),0)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L21+IFERROR(VLOOKUP($E:$E,'（居民）工资表-7月'!$E:$S,15,0),0)</f>
        <v>80000</v>
      </c>
      <c r="T21" s="91">
        <f>5000+IFERROR(VLOOKUP($E:$E,'（居民）工资表-7月'!$E:$T,16,0),0)</f>
        <v>20000</v>
      </c>
      <c r="U21" s="91">
        <f>Q21+IFERROR(VLOOKUP($E:$E,'（居民）工资表-7月'!$E:$U,17,0),0)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R21+IFERROR(VLOOKUP($E:$E,'（居民）工资表-7月'!$E:$AC,25,0),0)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IFERROR(VLOOKUP(E:E,'（居民）工资表-7月'!E:AF,28,0)+VLOOKUP(E:E,'（居民）工资表-7月'!E:AG,29,0),0)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L22+IFERROR(VLOOKUP($E:$E,'（居民）工资表-7月'!$E:$S,15,0),0)</f>
        <v>84000</v>
      </c>
      <c r="T22" s="91">
        <f>5000+IFERROR(VLOOKUP($E:$E,'（居民）工资表-7月'!$E:$T,16,0),0)</f>
        <v>20000</v>
      </c>
      <c r="U22" s="91">
        <f>Q22+IFERROR(VLOOKUP($E:$E,'（居民）工资表-7月'!$E:$U,17,0),0)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R22+IFERROR(VLOOKUP($E:$E,'（居民）工资表-7月'!$E:$AC,25,0),0)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IFERROR(VLOOKUP(E:E,'（居民）工资表-7月'!E:AF,28,0)+VLOOKUP(E:E,'（居民）工资表-7月'!E:AG,29,0),0)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L23+IFERROR(VLOOKUP($E:$E,'（居民）工资表-7月'!$E:$S,15,0),0)</f>
        <v>88000</v>
      </c>
      <c r="T23" s="91">
        <f>5000+IFERROR(VLOOKUP($E:$E,'（居民）工资表-7月'!$E:$T,16,0),0)</f>
        <v>20000</v>
      </c>
      <c r="U23" s="91">
        <f>Q23+IFERROR(VLOOKUP($E:$E,'（居民）工资表-7月'!$E:$U,17,0),0)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R23+IFERROR(VLOOKUP($E:$E,'（居民）工资表-7月'!$E:$AC,25,0),0)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IFERROR(VLOOKUP(E:E,'（居民）工资表-7月'!E:AF,28,0)+VLOOKUP(E:E,'（居民）工资表-7月'!E:AG,29,0),0)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15000</v>
      </c>
      <c r="T4" s="91">
        <f>5000+IFERROR(VLOOKUP($E:$E,'（居民）工资表-8月'!$E:$T,16,0),0)</f>
        <v>25000</v>
      </c>
      <c r="U4" s="91">
        <f>Q4+IFERROR(VLOOKUP($E:$E,'（居民）工资表-8月'!$E:$U,17,0),0)</f>
        <v>2625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-12625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20000</v>
      </c>
      <c r="T5" s="91">
        <f>5000+IFERROR(VLOOKUP($E:$E,'（居民）工资表-8月'!$E:$T,16,0),0)</f>
        <v>25000</v>
      </c>
      <c r="U5" s="91">
        <f>Q5+IFERROR(VLOOKUP($E:$E,'（居民）工资表-8月'!$E:$U,17,0),0)</f>
        <v>3500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-8500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25000</v>
      </c>
      <c r="T6" s="91">
        <f>5000+IFERROR(VLOOKUP($E:$E,'（居民）工资表-8月'!$E:$T,16,0),0)</f>
        <v>25000</v>
      </c>
      <c r="U6" s="91">
        <f>Q6+IFERROR(VLOOKUP($E:$E,'（居民）工资表-8月'!$E:$U,17,0),0)</f>
        <v>4375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-4375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30000</v>
      </c>
      <c r="T7" s="91">
        <f>5000+IFERROR(VLOOKUP($E:$E,'（居民）工资表-8月'!$E:$T,16,0),0)</f>
        <v>25000</v>
      </c>
      <c r="U7" s="91">
        <f>Q7+IFERROR(VLOOKUP($E:$E,'（居民）工资表-8月'!$E:$U,17,0),0)</f>
        <v>5250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-250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35000</v>
      </c>
      <c r="T8" s="91">
        <f>5000+IFERROR(VLOOKUP($E:$E,'（居民）工资表-8月'!$E:$T,16,0),0)</f>
        <v>25000</v>
      </c>
      <c r="U8" s="91">
        <f>Q8+IFERROR(VLOOKUP($E:$E,'（居民）工资表-8月'!$E:$U,17,0),0)</f>
        <v>6125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3875</v>
      </c>
      <c r="AE8" s="94">
        <f>ROUND(MAX((AD8)*{0.03;0.1;0.2;0.25;0.3;0.35;0.45}-{0;2520;16920;31920;52920;85920;181920},0),2)</f>
        <v>116.25</v>
      </c>
      <c r="AF8" s="95">
        <f>IFERROR(VLOOKUP(E:E,'（居民）工资表-8月'!E:AF,28,0)+VLOOKUP(E:E,'（居民）工资表-8月'!E:AG,29,0),0)</f>
        <v>93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40000</v>
      </c>
      <c r="T9" s="91">
        <f>5000+IFERROR(VLOOKUP($E:$E,'（居民）工资表-8月'!$E:$T,16,0),0)</f>
        <v>25000</v>
      </c>
      <c r="U9" s="91">
        <f>Q9+IFERROR(VLOOKUP($E:$E,'（居民）工资表-8月'!$E:$U,17,0),0)</f>
        <v>7000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8000</v>
      </c>
      <c r="AE9" s="94">
        <f>ROUND(MAX((AD9)*{0.03;0.1;0.2;0.25;0.3;0.35;0.45}-{0;2520;16920;31920;52920;85920;181920},0),2)</f>
        <v>240</v>
      </c>
      <c r="AF9" s="95">
        <f>IFERROR(VLOOKUP(E:E,'（居民）工资表-8月'!E:AF,28,0)+VLOOKUP(E:E,'（居民）工资表-8月'!E:AG,29,0),0)</f>
        <v>192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45000</v>
      </c>
      <c r="T10" s="91">
        <f>5000+IFERROR(VLOOKUP($E:$E,'（居民）工资表-8月'!$E:$T,16,0),0)</f>
        <v>25000</v>
      </c>
      <c r="U10" s="91">
        <f>Q10+IFERROR(VLOOKUP($E:$E,'（居民）工资表-8月'!$E:$U,17,0),0)</f>
        <v>7875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12125</v>
      </c>
      <c r="AE10" s="94">
        <f>ROUND(MAX((AD10)*{0.03;0.1;0.2;0.25;0.3;0.35;0.45}-{0;2520;16920;31920;52920;85920;181920},0),2)</f>
        <v>363.75</v>
      </c>
      <c r="AF10" s="95">
        <f>IFERROR(VLOOKUP(E:E,'（居民）工资表-8月'!E:AF,28,0)+VLOOKUP(E:E,'（居民）工资表-8月'!E:AG,29,0),0)</f>
        <v>291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50000</v>
      </c>
      <c r="T11" s="91">
        <f>5000+IFERROR(VLOOKUP($E:$E,'（居民）工资表-8月'!$E:$T,16,0),0)</f>
        <v>25000</v>
      </c>
      <c r="U11" s="91">
        <f>Q11+IFERROR(VLOOKUP($E:$E,'（居民）工资表-8月'!$E:$U,17,0),0)</f>
        <v>8750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16250</v>
      </c>
      <c r="AE11" s="94">
        <f>ROUND(MAX((AD11)*{0.03;0.1;0.2;0.25;0.3;0.35;0.45}-{0;2520;16920;31920;52920;85920;181920},0),2)</f>
        <v>487.5</v>
      </c>
      <c r="AF11" s="95">
        <f>IFERROR(VLOOKUP(E:E,'（居民）工资表-8月'!E:AF,28,0)+VLOOKUP(E:E,'（居民）工资表-8月'!E:AG,29,0),0)</f>
        <v>390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55000</v>
      </c>
      <c r="T12" s="91">
        <f>5000+IFERROR(VLOOKUP($E:$E,'（居民）工资表-8月'!$E:$T,16,0),0)</f>
        <v>25000</v>
      </c>
      <c r="U12" s="91">
        <f>Q12+IFERROR(VLOOKUP($E:$E,'（居民）工资表-8月'!$E:$U,17,0),0)</f>
        <v>9625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20375</v>
      </c>
      <c r="AE12" s="94">
        <f>ROUND(MAX((AD12)*{0.03;0.1;0.2;0.25;0.3;0.35;0.45}-{0;2520;16920;31920;52920;85920;181920},0),2)</f>
        <v>611.25</v>
      </c>
      <c r="AF12" s="95">
        <f>IFERROR(VLOOKUP(E:E,'（居民）工资表-8月'!E:AF,28,0)+VLOOKUP(E:E,'（居民）工资表-8月'!E:AG,29,0),0)</f>
        <v>489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60000</v>
      </c>
      <c r="T13" s="91">
        <f>5000+IFERROR(VLOOKUP($E:$E,'（居民）工资表-8月'!$E:$T,16,0),0)</f>
        <v>25000</v>
      </c>
      <c r="U13" s="91">
        <f>Q13+IFERROR(VLOOKUP($E:$E,'（居民）工资表-8月'!$E:$U,17,0),0)</f>
        <v>10500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24500</v>
      </c>
      <c r="AE13" s="94">
        <f>ROUND(MAX((AD13)*{0.03;0.1;0.2;0.25;0.3;0.35;0.45}-{0;2520;16920;31920;52920;85920;181920},0),2)</f>
        <v>735</v>
      </c>
      <c r="AF13" s="95">
        <f>IFERROR(VLOOKUP(E:E,'（居民）工资表-8月'!E:AF,28,0)+VLOOKUP(E:E,'（居民）工资表-8月'!E:AG,29,0),0)</f>
        <v>588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65000</v>
      </c>
      <c r="T14" s="91">
        <f>5000+IFERROR(VLOOKUP($E:$E,'（居民）工资表-8月'!$E:$T,16,0),0)</f>
        <v>25000</v>
      </c>
      <c r="U14" s="91">
        <f>Q14+IFERROR(VLOOKUP($E:$E,'（居民）工资表-8月'!$E:$U,17,0),0)</f>
        <v>11375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28625</v>
      </c>
      <c r="AE14" s="94">
        <f>ROUND(MAX((AD14)*{0.03;0.1;0.2;0.25;0.3;0.35;0.45}-{0;2520;16920;31920;52920;85920;181920},0),2)</f>
        <v>858.75</v>
      </c>
      <c r="AF14" s="95">
        <f>IFERROR(VLOOKUP(E:E,'（居民）工资表-8月'!E:AF,28,0)+VLOOKUP(E:E,'（居民）工资表-8月'!E:AG,29,0),0)</f>
        <v>687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70000</v>
      </c>
      <c r="T15" s="91">
        <f>5000+IFERROR(VLOOKUP($E:$E,'（居民）工资表-8月'!$E:$T,16,0),0)</f>
        <v>25000</v>
      </c>
      <c r="U15" s="91">
        <f>Q15+IFERROR(VLOOKUP($E:$E,'（居民）工资表-8月'!$E:$U,17,0),0)</f>
        <v>12250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32750</v>
      </c>
      <c r="AE15" s="94">
        <f>ROUND(MAX((AD15)*{0.03;0.1;0.2;0.25;0.3;0.35;0.45}-{0;2520;16920;31920;52920;85920;181920},0),2)</f>
        <v>982.5</v>
      </c>
      <c r="AF15" s="95">
        <f>IFERROR(VLOOKUP(E:E,'（居民）工资表-8月'!E:AF,28,0)+VLOOKUP(E:E,'（居民）工资表-8月'!E:AG,29,0),0)</f>
        <v>786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75000</v>
      </c>
      <c r="T16" s="91">
        <f>5000+IFERROR(VLOOKUP($E:$E,'（居民）工资表-8月'!$E:$T,16,0),0)</f>
        <v>25000</v>
      </c>
      <c r="U16" s="91">
        <f>Q16+IFERROR(VLOOKUP($E:$E,'（居民）工资表-8月'!$E:$U,17,0),0)</f>
        <v>13125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36875</v>
      </c>
      <c r="AE16" s="94">
        <f>ROUND(MAX((AD16)*{0.03;0.1;0.2;0.25;0.3;0.35;0.45}-{0;2520;16920;31920;52920;85920;181920},0),2)</f>
        <v>1167.5</v>
      </c>
      <c r="AF16" s="95">
        <f>IFERROR(VLOOKUP(E:E,'（居民）工资表-8月'!E:AF,28,0)+VLOOKUP(E:E,'（居民）工资表-8月'!E:AG,29,0),0)</f>
        <v>885</v>
      </c>
      <c r="AG16" s="95">
        <f t="shared" si="7"/>
        <v>282.5</v>
      </c>
      <c r="AH16" s="102">
        <f t="shared" si="8"/>
        <v>12092.5</v>
      </c>
      <c r="AI16" s="103"/>
      <c r="AJ16" s="102">
        <f t="shared" si="9"/>
        <v>12092.5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80000</v>
      </c>
      <c r="T17" s="91">
        <f>5000+IFERROR(VLOOKUP($E:$E,'（居民）工资表-8月'!$E:$T,16,0),0)</f>
        <v>25000</v>
      </c>
      <c r="U17" s="91">
        <f>Q17+IFERROR(VLOOKUP($E:$E,'（居民）工资表-8月'!$E:$U,17,0),0)</f>
        <v>14000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41000</v>
      </c>
      <c r="AE17" s="94">
        <f>ROUND(MAX((AD17)*{0.03;0.1;0.2;0.25;0.3;0.35;0.45}-{0;2520;16920;31920;52920;85920;181920},0),2)</f>
        <v>1580</v>
      </c>
      <c r="AF17" s="95">
        <f>IFERROR(VLOOKUP(E:E,'（居民）工资表-8月'!E:AF,28,0)+VLOOKUP(E:E,'（居民）工资表-8月'!E:AG,29,0),0)</f>
        <v>984</v>
      </c>
      <c r="AG17" s="95">
        <f t="shared" si="7"/>
        <v>596</v>
      </c>
      <c r="AH17" s="102">
        <f t="shared" si="8"/>
        <v>12604</v>
      </c>
      <c r="AI17" s="103"/>
      <c r="AJ17" s="102">
        <f t="shared" si="9"/>
        <v>12604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85000</v>
      </c>
      <c r="T18" s="91">
        <f>5000+IFERROR(VLOOKUP($E:$E,'（居民）工资表-8月'!$E:$T,16,0),0)</f>
        <v>25000</v>
      </c>
      <c r="U18" s="91">
        <f>Q18+IFERROR(VLOOKUP($E:$E,'（居民）工资表-8月'!$E:$U,17,0),0)</f>
        <v>14875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45125</v>
      </c>
      <c r="AE18" s="94">
        <f>ROUND(MAX((AD18)*{0.03;0.1;0.2;0.25;0.3;0.35;0.45}-{0;2520;16920;31920;52920;85920;181920},0),2)</f>
        <v>1992.5</v>
      </c>
      <c r="AF18" s="95">
        <f>IFERROR(VLOOKUP(E:E,'（居民）工资表-8月'!E:AF,28,0)+VLOOKUP(E:E,'（居民）工资表-8月'!E:AG,29,0),0)</f>
        <v>1090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90000</v>
      </c>
      <c r="T19" s="91">
        <f>5000+IFERROR(VLOOKUP($E:$E,'（居民）工资表-8月'!$E:$T,16,0),0)</f>
        <v>25000</v>
      </c>
      <c r="U19" s="91">
        <f>Q19+IFERROR(VLOOKUP($E:$E,'（居民）工资表-8月'!$E:$U,17,0),0)</f>
        <v>15750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49250</v>
      </c>
      <c r="AE19" s="94">
        <f>ROUND(MAX((AD19)*{0.03;0.1;0.2;0.25;0.3;0.35;0.45}-{0;2520;16920;31920;52920;85920;181920},0),2)</f>
        <v>2405</v>
      </c>
      <c r="AF19" s="95">
        <f>IFERROR(VLOOKUP(E:E,'（居民）工资表-8月'!E:AF,28,0)+VLOOKUP(E:E,'（居民）工资表-8月'!E:AG,29,0),0)</f>
        <v>1420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95000</v>
      </c>
      <c r="T20" s="91">
        <f>5000+IFERROR(VLOOKUP($E:$E,'（居民）工资表-8月'!$E:$T,16,0),0)</f>
        <v>25000</v>
      </c>
      <c r="U20" s="91">
        <f>Q20+IFERROR(VLOOKUP($E:$E,'（居民）工资表-8月'!$E:$U,17,0),0)</f>
        <v>16625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53375</v>
      </c>
      <c r="AE20" s="94">
        <f>ROUND(MAX((AD20)*{0.03;0.1;0.2;0.25;0.3;0.35;0.45}-{0;2520;16920;31920;52920;85920;181920},0),2)</f>
        <v>2817.5</v>
      </c>
      <c r="AF20" s="95">
        <f>IFERROR(VLOOKUP(E:E,'（居民）工资表-8月'!E:AF,28,0)+VLOOKUP(E:E,'（居民）工资表-8月'!E:AG,29,0),0)</f>
        <v>1750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100000</v>
      </c>
      <c r="T21" s="91">
        <f>5000+IFERROR(VLOOKUP($E:$E,'（居民）工资表-8月'!$E:$T,16,0),0)</f>
        <v>25000</v>
      </c>
      <c r="U21" s="91">
        <f>Q21+IFERROR(VLOOKUP($E:$E,'（居民）工资表-8月'!$E:$U,17,0),0)</f>
        <v>17500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57500</v>
      </c>
      <c r="AE21" s="94">
        <f>ROUND(MAX((AD21)*{0.03;0.1;0.2;0.25;0.3;0.35;0.45}-{0;2520;16920;31920;52920;85920;181920},0),2)</f>
        <v>3230</v>
      </c>
      <c r="AF21" s="95">
        <f>IFERROR(VLOOKUP(E:E,'（居民）工资表-8月'!E:AF,28,0)+VLOOKUP(E:E,'（居民）工资表-8月'!E:AG,29,0),0)</f>
        <v>2080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105000</v>
      </c>
      <c r="T22" s="91">
        <f>5000+IFERROR(VLOOKUP($E:$E,'（居民）工资表-8月'!$E:$T,16,0),0)</f>
        <v>25000</v>
      </c>
      <c r="U22" s="91">
        <f>Q22+IFERROR(VLOOKUP($E:$E,'（居民）工资表-8月'!$E:$U,17,0),0)</f>
        <v>18375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61625</v>
      </c>
      <c r="AE22" s="94">
        <f>ROUND(MAX((AD22)*{0.03;0.1;0.2;0.25;0.3;0.35;0.45}-{0;2520;16920;31920;52920;85920;181920},0),2)</f>
        <v>3642.5</v>
      </c>
      <c r="AF22" s="95">
        <f>IFERROR(VLOOKUP(E:E,'（居民）工资表-8月'!E:AF,28,0)+VLOOKUP(E:E,'（居民）工资表-8月'!E:AG,29,0),0)</f>
        <v>2410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110000</v>
      </c>
      <c r="T23" s="91">
        <f>5000+IFERROR(VLOOKUP($E:$E,'（居民）工资表-8月'!$E:$T,16,0),0)</f>
        <v>25000</v>
      </c>
      <c r="U23" s="91">
        <f>Q23+IFERROR(VLOOKUP($E:$E,'（居民）工资表-8月'!$E:$U,17,0),0)</f>
        <v>19250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65750</v>
      </c>
      <c r="AE23" s="94">
        <f>ROUND(MAX((AD23)*{0.03;0.1;0.2;0.25;0.3;0.35;0.45}-{0;2520;16920;31920;52920;85920;181920},0),2)</f>
        <v>4055</v>
      </c>
      <c r="AF23" s="95">
        <f>IFERROR(VLOOKUP(E:E,'（居民）工资表-8月'!E:AF,28,0)+VLOOKUP(E:E,'（居民）工资表-8月'!E:AG,29,0),0)</f>
        <v>2740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1250000</v>
      </c>
      <c r="T24" s="74">
        <f t="shared" si="12"/>
        <v>500000</v>
      </c>
      <c r="U24" s="74">
        <f t="shared" si="12"/>
        <v>218750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531250</v>
      </c>
      <c r="AE24" s="74">
        <f t="shared" si="12"/>
        <v>25285</v>
      </c>
      <c r="AF24" s="74">
        <f t="shared" si="12"/>
        <v>16875</v>
      </c>
      <c r="AG24" s="74">
        <f t="shared" si="12"/>
        <v>8410</v>
      </c>
      <c r="AH24" s="74">
        <f t="shared" si="12"/>
        <v>197840</v>
      </c>
      <c r="AI24" s="105">
        <f t="shared" si="12"/>
        <v>0</v>
      </c>
      <c r="AJ24" s="74">
        <f t="shared" si="12"/>
        <v>197840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197840</v>
      </c>
      <c r="C29" s="48">
        <f>AG24</f>
        <v>8410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18000</v>
      </c>
      <c r="T4" s="91">
        <f>5000+IFERROR(VLOOKUP($E:$E,'（居民）工资表-9月'!$E:$T,16,0),0)</f>
        <v>30000</v>
      </c>
      <c r="U4" s="91">
        <f>Q4+IFERROR(VLOOKUP($E:$E,'（居民）工资表-9月'!$E:$U,17,0),0)</f>
        <v>3150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-15150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24000</v>
      </c>
      <c r="T5" s="91">
        <f>5000+IFERROR(VLOOKUP($E:$E,'（居民）工资表-9月'!$E:$T,16,0),0)</f>
        <v>30000</v>
      </c>
      <c r="U5" s="91">
        <f>Q5+IFERROR(VLOOKUP($E:$E,'（居民）工资表-9月'!$E:$U,17,0),0)</f>
        <v>4200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-10200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30000</v>
      </c>
      <c r="T6" s="91">
        <f>5000+IFERROR(VLOOKUP($E:$E,'（居民）工资表-9月'!$E:$T,16,0),0)</f>
        <v>30000</v>
      </c>
      <c r="U6" s="91">
        <f>Q6+IFERROR(VLOOKUP($E:$E,'（居民）工资表-9月'!$E:$U,17,0),0)</f>
        <v>5250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-5250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36000</v>
      </c>
      <c r="T7" s="91">
        <f>5000+IFERROR(VLOOKUP($E:$E,'（居民）工资表-9月'!$E:$T,16,0),0)</f>
        <v>30000</v>
      </c>
      <c r="U7" s="91">
        <f>Q7+IFERROR(VLOOKUP($E:$E,'（居民）工资表-9月'!$E:$U,17,0),0)</f>
        <v>6300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-300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42000</v>
      </c>
      <c r="T8" s="91">
        <f>5000+IFERROR(VLOOKUP($E:$E,'（居民）工资表-9月'!$E:$T,16,0),0)</f>
        <v>30000</v>
      </c>
      <c r="U8" s="91">
        <f>Q8+IFERROR(VLOOKUP($E:$E,'（居民）工资表-9月'!$E:$U,17,0),0)</f>
        <v>7350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4650</v>
      </c>
      <c r="AE8" s="94">
        <f>ROUND(MAX((AD8)*{0.03;0.1;0.2;0.25;0.3;0.35;0.45}-{0;2520;16920;31920;52920;85920;181920},0),2)</f>
        <v>139.5</v>
      </c>
      <c r="AF8" s="95">
        <f>IFERROR(VLOOKUP(E:E,'（居民）工资表-9月'!E:AF,28,0)+VLOOKUP(E:E,'（居民）工资表-9月'!E:AG,29,0),0)</f>
        <v>116.25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48000</v>
      </c>
      <c r="T9" s="91">
        <f>5000+IFERROR(VLOOKUP($E:$E,'（居民）工资表-9月'!$E:$T,16,0),0)</f>
        <v>30000</v>
      </c>
      <c r="U9" s="91">
        <f>Q9+IFERROR(VLOOKUP($E:$E,'（居民）工资表-9月'!$E:$U,17,0),0)</f>
        <v>8400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9600</v>
      </c>
      <c r="AE9" s="94">
        <f>ROUND(MAX((AD9)*{0.03;0.1;0.2;0.25;0.3;0.35;0.45}-{0;2520;16920;31920;52920;85920;181920},0),2)</f>
        <v>288</v>
      </c>
      <c r="AF9" s="95">
        <f>IFERROR(VLOOKUP(E:E,'（居民）工资表-9月'!E:AF,28,0)+VLOOKUP(E:E,'（居民）工资表-9月'!E:AG,29,0),0)</f>
        <v>240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54000</v>
      </c>
      <c r="T10" s="91">
        <f>5000+IFERROR(VLOOKUP($E:$E,'（居民）工资表-9月'!$E:$T,16,0),0)</f>
        <v>30000</v>
      </c>
      <c r="U10" s="91">
        <f>Q10+IFERROR(VLOOKUP($E:$E,'（居民）工资表-9月'!$E:$U,17,0),0)</f>
        <v>9450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14550</v>
      </c>
      <c r="AE10" s="94">
        <f>ROUND(MAX((AD10)*{0.03;0.1;0.2;0.25;0.3;0.35;0.45}-{0;2520;16920;31920;52920;85920;181920},0),2)</f>
        <v>436.5</v>
      </c>
      <c r="AF10" s="95">
        <f>IFERROR(VLOOKUP(E:E,'（居民）工资表-9月'!E:AF,28,0)+VLOOKUP(E:E,'（居民）工资表-9月'!E:AG,29,0),0)</f>
        <v>363.75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60000</v>
      </c>
      <c r="T11" s="91">
        <f>5000+IFERROR(VLOOKUP($E:$E,'（居民）工资表-9月'!$E:$T,16,0),0)</f>
        <v>30000</v>
      </c>
      <c r="U11" s="91">
        <f>Q11+IFERROR(VLOOKUP($E:$E,'（居民）工资表-9月'!$E:$U,17,0),0)</f>
        <v>10500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19500</v>
      </c>
      <c r="AE11" s="94">
        <f>ROUND(MAX((AD11)*{0.03;0.1;0.2;0.25;0.3;0.35;0.45}-{0;2520;16920;31920;52920;85920;181920},0),2)</f>
        <v>585</v>
      </c>
      <c r="AF11" s="95">
        <f>IFERROR(VLOOKUP(E:E,'（居民）工资表-9月'!E:AF,28,0)+VLOOKUP(E:E,'（居民）工资表-9月'!E:AG,29,0),0)</f>
        <v>487.5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66000</v>
      </c>
      <c r="T12" s="91">
        <f>5000+IFERROR(VLOOKUP($E:$E,'（居民）工资表-9月'!$E:$T,16,0),0)</f>
        <v>30000</v>
      </c>
      <c r="U12" s="91">
        <f>Q12+IFERROR(VLOOKUP($E:$E,'（居民）工资表-9月'!$E:$U,17,0),0)</f>
        <v>11550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24450</v>
      </c>
      <c r="AE12" s="94">
        <f>ROUND(MAX((AD12)*{0.03;0.1;0.2;0.25;0.3;0.35;0.45}-{0;2520;16920;31920;52920;85920;181920},0),2)</f>
        <v>733.5</v>
      </c>
      <c r="AF12" s="95">
        <f>IFERROR(VLOOKUP(E:E,'（居民）工资表-9月'!E:AF,28,0)+VLOOKUP(E:E,'（居民）工资表-9月'!E:AG,29,0),0)</f>
        <v>611.25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72000</v>
      </c>
      <c r="T13" s="91">
        <f>5000+IFERROR(VLOOKUP($E:$E,'（居民）工资表-9月'!$E:$T,16,0),0)</f>
        <v>30000</v>
      </c>
      <c r="U13" s="91">
        <f>Q13+IFERROR(VLOOKUP($E:$E,'（居民）工资表-9月'!$E:$U,17,0),0)</f>
        <v>12600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29400</v>
      </c>
      <c r="AE13" s="94">
        <f>ROUND(MAX((AD13)*{0.03;0.1;0.2;0.25;0.3;0.35;0.45}-{0;2520;16920;31920;52920;85920;181920},0),2)</f>
        <v>882</v>
      </c>
      <c r="AF13" s="95">
        <f>IFERROR(VLOOKUP(E:E,'（居民）工资表-9月'!E:AF,28,0)+VLOOKUP(E:E,'（居民）工资表-9月'!E:AG,29,0),0)</f>
        <v>735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78000</v>
      </c>
      <c r="T14" s="91">
        <f>5000+IFERROR(VLOOKUP($E:$E,'（居民）工资表-9月'!$E:$T,16,0),0)</f>
        <v>30000</v>
      </c>
      <c r="U14" s="91">
        <f>Q14+IFERROR(VLOOKUP($E:$E,'（居民）工资表-9月'!$E:$U,17,0),0)</f>
        <v>13650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34350</v>
      </c>
      <c r="AE14" s="94">
        <f>ROUND(MAX((AD14)*{0.03;0.1;0.2;0.25;0.3;0.35;0.45}-{0;2520;16920;31920;52920;85920;181920},0),2)</f>
        <v>1030.5</v>
      </c>
      <c r="AF14" s="95">
        <f>IFERROR(VLOOKUP(E:E,'（居民）工资表-9月'!E:AF,28,0)+VLOOKUP(E:E,'（居民）工资表-9月'!E:AG,29,0),0)</f>
        <v>858.75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84000</v>
      </c>
      <c r="T15" s="91">
        <f>5000+IFERROR(VLOOKUP($E:$E,'（居民）工资表-9月'!$E:$T,16,0),0)</f>
        <v>30000</v>
      </c>
      <c r="U15" s="91">
        <f>Q15+IFERROR(VLOOKUP($E:$E,'（居民）工资表-9月'!$E:$U,17,0),0)</f>
        <v>14700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39300</v>
      </c>
      <c r="AE15" s="94">
        <f>ROUND(MAX((AD15)*{0.03;0.1;0.2;0.25;0.3;0.35;0.45}-{0;2520;16920;31920;52920;85920;181920},0),2)</f>
        <v>1410</v>
      </c>
      <c r="AF15" s="95">
        <f>IFERROR(VLOOKUP(E:E,'（居民）工资表-9月'!E:AF,28,0)+VLOOKUP(E:E,'（居民）工资表-9月'!E:AG,29,0),0)</f>
        <v>982.5</v>
      </c>
      <c r="AG15" s="95">
        <f t="shared" si="7"/>
        <v>427.5</v>
      </c>
      <c r="AH15" s="102">
        <f t="shared" si="8"/>
        <v>11122.5</v>
      </c>
      <c r="AI15" s="103"/>
      <c r="AJ15" s="102">
        <f t="shared" si="9"/>
        <v>11122.5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90000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15750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44250</v>
      </c>
      <c r="AE16" s="94">
        <f>ROUND(MAX((AD16)*{0.03;0.1;0.2;0.25;0.3;0.35;0.45}-{0;2520;16920;31920;52920;85920;181920},0),2)</f>
        <v>1905</v>
      </c>
      <c r="AF16" s="95">
        <f>IFERROR(VLOOKUP(E:E,'（居民）工资表-9月'!E:AF,28,0)+VLOOKUP(E:E,'（居民）工资表-9月'!E:AG,29,0),0)</f>
        <v>1167.5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96000</v>
      </c>
      <c r="T17" s="91">
        <f>5000+IFERROR(VLOOKUP($E:$E,'（居民）工资表-9月'!$E:$T,16,0),0)</f>
        <v>30000</v>
      </c>
      <c r="U17" s="91">
        <f>Q17+IFERROR(VLOOKUP($E:$E,'（居民）工资表-9月'!$E:$U,17,0),0)</f>
        <v>16800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49200</v>
      </c>
      <c r="AE17" s="94">
        <f>ROUND(MAX((AD17)*{0.03;0.1;0.2;0.25;0.3;0.35;0.45}-{0;2520;16920;31920;52920;85920;181920},0),2)</f>
        <v>2400</v>
      </c>
      <c r="AF17" s="95">
        <f>IFERROR(VLOOKUP(E:E,'（居民）工资表-9月'!E:AF,28,0)+VLOOKUP(E:E,'（居民）工资表-9月'!E:AG,29,0),0)</f>
        <v>1580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102000</v>
      </c>
      <c r="T18" s="91">
        <f>5000+IFERROR(VLOOKUP($E:$E,'（居民）工资表-9月'!$E:$T,16,0),0)</f>
        <v>30000</v>
      </c>
      <c r="U18" s="91">
        <f>Q18+IFERROR(VLOOKUP($E:$E,'（居民）工资表-9月'!$E:$U,17,0),0)</f>
        <v>17850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54150</v>
      </c>
      <c r="AE18" s="94">
        <f>ROUND(MAX((AD18)*{0.03;0.1;0.2;0.25;0.3;0.35;0.45}-{0;2520;16920;31920;52920;85920;181920},0),2)</f>
        <v>2895</v>
      </c>
      <c r="AF18" s="95">
        <f>IFERROR(VLOOKUP(E:E,'（居民）工资表-9月'!E:AF,28,0)+VLOOKUP(E:E,'（居民）工资表-9月'!E:AG,29,0),0)</f>
        <v>1992.5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108000</v>
      </c>
      <c r="T19" s="91">
        <f>5000+IFERROR(VLOOKUP($E:$E,'（居民）工资表-9月'!$E:$T,16,0),0)</f>
        <v>30000</v>
      </c>
      <c r="U19" s="91">
        <f>Q19+IFERROR(VLOOKUP($E:$E,'（居民）工资表-9月'!$E:$U,17,0),0)</f>
        <v>18900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59100</v>
      </c>
      <c r="AE19" s="94">
        <f>ROUND(MAX((AD19)*{0.03;0.1;0.2;0.25;0.3;0.35;0.45}-{0;2520;16920;31920;52920;85920;181920},0),2)</f>
        <v>3390</v>
      </c>
      <c r="AF19" s="95">
        <f>IFERROR(VLOOKUP(E:E,'（居民）工资表-9月'!E:AF,28,0)+VLOOKUP(E:E,'（居民）工资表-9月'!E:AG,29,0),0)</f>
        <v>2405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114000</v>
      </c>
      <c r="T20" s="91">
        <f>5000+IFERROR(VLOOKUP($E:$E,'（居民）工资表-9月'!$E:$T,16,0),0)</f>
        <v>30000</v>
      </c>
      <c r="U20" s="91">
        <f>Q20+IFERROR(VLOOKUP($E:$E,'（居民）工资表-9月'!$E:$U,17,0),0)</f>
        <v>19950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64050</v>
      </c>
      <c r="AE20" s="94">
        <f>ROUND(MAX((AD20)*{0.03;0.1;0.2;0.25;0.3;0.35;0.45}-{0;2520;16920;31920;52920;85920;181920},0),2)</f>
        <v>3885</v>
      </c>
      <c r="AF20" s="95">
        <f>IFERROR(VLOOKUP(E:E,'（居民）工资表-9月'!E:AF,28,0)+VLOOKUP(E:E,'（居民）工资表-9月'!E:AG,29,0),0)</f>
        <v>2817.5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120000</v>
      </c>
      <c r="T21" s="91">
        <f>5000+IFERROR(VLOOKUP($E:$E,'（居民）工资表-9月'!$E:$T,16,0),0)</f>
        <v>30000</v>
      </c>
      <c r="U21" s="91">
        <f>Q21+IFERROR(VLOOKUP($E:$E,'（居民）工资表-9月'!$E:$U,17,0),0)</f>
        <v>21000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69000</v>
      </c>
      <c r="AE21" s="94">
        <f>ROUND(MAX((AD21)*{0.03;0.1;0.2;0.25;0.3;0.35;0.45}-{0;2520;16920;31920;52920;85920;181920},0),2)</f>
        <v>4380</v>
      </c>
      <c r="AF21" s="95">
        <f>IFERROR(VLOOKUP(E:E,'（居民）工资表-9月'!E:AF,28,0)+VLOOKUP(E:E,'（居民）工资表-9月'!E:AG,29,0),0)</f>
        <v>3230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126000</v>
      </c>
      <c r="T22" s="91">
        <f>5000+IFERROR(VLOOKUP($E:$E,'（居民）工资表-9月'!$E:$T,16,0),0)</f>
        <v>30000</v>
      </c>
      <c r="U22" s="91">
        <f>Q22+IFERROR(VLOOKUP($E:$E,'（居民）工资表-9月'!$E:$U,17,0),0)</f>
        <v>22050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73950</v>
      </c>
      <c r="AE22" s="94">
        <f>ROUND(MAX((AD22)*{0.03;0.1;0.2;0.25;0.3;0.35;0.45}-{0;2520;16920;31920;52920;85920;181920},0),2)</f>
        <v>4875</v>
      </c>
      <c r="AF22" s="95">
        <f>IFERROR(VLOOKUP(E:E,'（居民）工资表-9月'!E:AF,28,0)+VLOOKUP(E:E,'（居民）工资表-9月'!E:AG,29,0),0)</f>
        <v>3642.5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132000</v>
      </c>
      <c r="T23" s="91">
        <f>5000+IFERROR(VLOOKUP($E:$E,'（居民）工资表-9月'!$E:$T,16,0),0)</f>
        <v>30000</v>
      </c>
      <c r="U23" s="91">
        <f>Q23+IFERROR(VLOOKUP($E:$E,'（居民）工资表-9月'!$E:$U,17,0),0)</f>
        <v>23100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78900</v>
      </c>
      <c r="AE23" s="94">
        <f>ROUND(MAX((AD23)*{0.03;0.1;0.2;0.25;0.3;0.35;0.45}-{0;2520;16920;31920;52920;85920;181920},0),2)</f>
        <v>5370</v>
      </c>
      <c r="AF23" s="95">
        <f>IFERROR(VLOOKUP(E:E,'（居民）工资表-9月'!E:AF,28,0)+VLOOKUP(E:E,'（居民）工资表-9月'!E:AG,29,0),0)</f>
        <v>4055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1500000</v>
      </c>
      <c r="T24" s="74">
        <f t="shared" si="12"/>
        <v>600000</v>
      </c>
      <c r="U24" s="74">
        <f t="shared" si="12"/>
        <v>262500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637500</v>
      </c>
      <c r="AE24" s="74">
        <f t="shared" si="12"/>
        <v>34605</v>
      </c>
      <c r="AF24" s="74">
        <f t="shared" si="12"/>
        <v>25285</v>
      </c>
      <c r="AG24" s="74">
        <f t="shared" si="12"/>
        <v>9320</v>
      </c>
      <c r="AH24" s="74">
        <f t="shared" si="12"/>
        <v>196930</v>
      </c>
      <c r="AI24" s="105">
        <f t="shared" si="12"/>
        <v>0</v>
      </c>
      <c r="AJ24" s="74">
        <f t="shared" si="12"/>
        <v>196930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196930</v>
      </c>
      <c r="C29" s="48">
        <f>AG24</f>
        <v>9320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21000</v>
      </c>
      <c r="T4" s="91">
        <f>5000+IFERROR(VLOOKUP($E:$E,'（居民）工资表-10月'!$E:$T,16,0),0)</f>
        <v>35000</v>
      </c>
      <c r="U4" s="91">
        <f>Q4+IFERROR(VLOOKUP($E:$E,'（居民）工资表-10月'!$E:$U,17,0),0)</f>
        <v>3675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-17675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28000</v>
      </c>
      <c r="T5" s="91">
        <f>5000+IFERROR(VLOOKUP($E:$E,'（居民）工资表-10月'!$E:$T,16,0),0)</f>
        <v>35000</v>
      </c>
      <c r="U5" s="91">
        <f>Q5+IFERROR(VLOOKUP($E:$E,'（居民）工资表-10月'!$E:$U,17,0),0)</f>
        <v>4900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-11900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35000</v>
      </c>
      <c r="T6" s="91">
        <f>5000+IFERROR(VLOOKUP($E:$E,'（居民）工资表-10月'!$E:$T,16,0),0)</f>
        <v>35000</v>
      </c>
      <c r="U6" s="91">
        <f>Q6+IFERROR(VLOOKUP($E:$E,'（居民）工资表-10月'!$E:$U,17,0),0)</f>
        <v>6125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-6125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42000</v>
      </c>
      <c r="T7" s="91">
        <f>5000+IFERROR(VLOOKUP($E:$E,'（居民）工资表-10月'!$E:$T,16,0),0)</f>
        <v>35000</v>
      </c>
      <c r="U7" s="91">
        <f>Q7+IFERROR(VLOOKUP($E:$E,'（居民）工资表-10月'!$E:$U,17,0),0)</f>
        <v>7350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-350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49000</v>
      </c>
      <c r="T8" s="91">
        <f>5000+IFERROR(VLOOKUP($E:$E,'（居民）工资表-10月'!$E:$T,16,0),0)</f>
        <v>35000</v>
      </c>
      <c r="U8" s="91">
        <f>Q8+IFERROR(VLOOKUP($E:$E,'（居民）工资表-10月'!$E:$U,17,0),0)</f>
        <v>8575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5425</v>
      </c>
      <c r="AE8" s="94">
        <f>ROUND(MAX((AD8)*{0.03;0.1;0.2;0.25;0.3;0.35;0.45}-{0;2520;16920;31920;52920;85920;181920},0),2)</f>
        <v>162.75</v>
      </c>
      <c r="AF8" s="95">
        <f>IFERROR(VLOOKUP(E:E,'（居民）工资表-10月'!E:AF,28,0)+VLOOKUP(E:E,'（居民）工资表-10月'!E:AG,29,0),0)</f>
        <v>139.5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56000</v>
      </c>
      <c r="T9" s="91">
        <f>5000+IFERROR(VLOOKUP($E:$E,'（居民）工资表-10月'!$E:$T,16,0),0)</f>
        <v>35000</v>
      </c>
      <c r="U9" s="91">
        <f>Q9+IFERROR(VLOOKUP($E:$E,'（居民）工资表-10月'!$E:$U,17,0),0)</f>
        <v>9800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11200</v>
      </c>
      <c r="AE9" s="94">
        <f>ROUND(MAX((AD9)*{0.03;0.1;0.2;0.25;0.3;0.35;0.45}-{0;2520;16920;31920;52920;85920;181920},0),2)</f>
        <v>336</v>
      </c>
      <c r="AF9" s="95">
        <f>IFERROR(VLOOKUP(E:E,'（居民）工资表-10月'!E:AF,28,0)+VLOOKUP(E:E,'（居民）工资表-10月'!E:AG,29,0),0)</f>
        <v>288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63000</v>
      </c>
      <c r="T10" s="91">
        <f>5000+IFERROR(VLOOKUP($E:$E,'（居民）工资表-10月'!$E:$T,16,0),0)</f>
        <v>35000</v>
      </c>
      <c r="U10" s="91">
        <f>Q10+IFERROR(VLOOKUP($E:$E,'（居民）工资表-10月'!$E:$U,17,0),0)</f>
        <v>11025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16975</v>
      </c>
      <c r="AE10" s="94">
        <f>ROUND(MAX((AD10)*{0.03;0.1;0.2;0.25;0.3;0.35;0.45}-{0;2520;16920;31920;52920;85920;181920},0),2)</f>
        <v>509.25</v>
      </c>
      <c r="AF10" s="95">
        <f>IFERROR(VLOOKUP(E:E,'（居民）工资表-10月'!E:AF,28,0)+VLOOKUP(E:E,'（居民）工资表-10月'!E:AG,29,0),0)</f>
        <v>436.5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70000</v>
      </c>
      <c r="T11" s="91">
        <f>5000+IFERROR(VLOOKUP($E:$E,'（居民）工资表-10月'!$E:$T,16,0),0)</f>
        <v>35000</v>
      </c>
      <c r="U11" s="91">
        <f>Q11+IFERROR(VLOOKUP($E:$E,'（居民）工资表-10月'!$E:$U,17,0),0)</f>
        <v>12250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22750</v>
      </c>
      <c r="AE11" s="94">
        <f>ROUND(MAX((AD11)*{0.03;0.1;0.2;0.25;0.3;0.35;0.45}-{0;2520;16920;31920;52920;85920;181920},0),2)</f>
        <v>682.5</v>
      </c>
      <c r="AF11" s="95">
        <f>IFERROR(VLOOKUP(E:E,'（居民）工资表-10月'!E:AF,28,0)+VLOOKUP(E:E,'（居民）工资表-10月'!E:AG,29,0),0)</f>
        <v>585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77000</v>
      </c>
      <c r="T12" s="91">
        <f>5000+IFERROR(VLOOKUP($E:$E,'（居民）工资表-10月'!$E:$T,16,0),0)</f>
        <v>35000</v>
      </c>
      <c r="U12" s="91">
        <f>Q12+IFERROR(VLOOKUP($E:$E,'（居民）工资表-10月'!$E:$U,17,0),0)</f>
        <v>13475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28525</v>
      </c>
      <c r="AE12" s="94">
        <f>ROUND(MAX((AD12)*{0.03;0.1;0.2;0.25;0.3;0.35;0.45}-{0;2520;16920;31920;52920;85920;181920},0),2)</f>
        <v>855.75</v>
      </c>
      <c r="AF12" s="95">
        <f>IFERROR(VLOOKUP(E:E,'（居民）工资表-10月'!E:AF,28,0)+VLOOKUP(E:E,'（居民）工资表-10月'!E:AG,29,0),0)</f>
        <v>733.5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84000</v>
      </c>
      <c r="T13" s="91">
        <f>5000+IFERROR(VLOOKUP($E:$E,'（居民）工资表-10月'!$E:$T,16,0),0)</f>
        <v>35000</v>
      </c>
      <c r="U13" s="91">
        <f>Q13+IFERROR(VLOOKUP($E:$E,'（居民）工资表-10月'!$E:$U,17,0),0)</f>
        <v>14700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34300</v>
      </c>
      <c r="AE13" s="94">
        <f>ROUND(MAX((AD13)*{0.03;0.1;0.2;0.25;0.3;0.35;0.45}-{0;2520;16920;31920;52920;85920;181920},0),2)</f>
        <v>1029</v>
      </c>
      <c r="AF13" s="95">
        <f>IFERROR(VLOOKUP(E:E,'（居民）工资表-10月'!E:AF,28,0)+VLOOKUP(E:E,'（居民）工资表-10月'!E:AG,29,0),0)</f>
        <v>882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91000</v>
      </c>
      <c r="T14" s="91">
        <f>5000+IFERROR(VLOOKUP($E:$E,'（居民）工资表-10月'!$E:$T,16,0),0)</f>
        <v>35000</v>
      </c>
      <c r="U14" s="91">
        <f>Q14+IFERROR(VLOOKUP($E:$E,'（居民）工资表-10月'!$E:$U,17,0),0)</f>
        <v>15925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40075</v>
      </c>
      <c r="AE14" s="94">
        <f>ROUND(MAX((AD14)*{0.03;0.1;0.2;0.25;0.3;0.35;0.45}-{0;2520;16920;31920;52920;85920;181920},0),2)</f>
        <v>1487.5</v>
      </c>
      <c r="AF14" s="95">
        <f>IFERROR(VLOOKUP(E:E,'（居民）工资表-10月'!E:AF,28,0)+VLOOKUP(E:E,'（居民）工资表-10月'!E:AG,29,0),0)</f>
        <v>1030.5</v>
      </c>
      <c r="AG14" s="95">
        <f t="shared" si="7"/>
        <v>457</v>
      </c>
      <c r="AH14" s="102">
        <f t="shared" si="8"/>
        <v>10268</v>
      </c>
      <c r="AI14" s="103"/>
      <c r="AJ14" s="102">
        <f t="shared" si="9"/>
        <v>10268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98000</v>
      </c>
      <c r="T15" s="91">
        <f>5000+IFERROR(VLOOKUP($E:$E,'（居民）工资表-10月'!$E:$T,16,0),0)</f>
        <v>35000</v>
      </c>
      <c r="U15" s="91">
        <f>Q15+IFERROR(VLOOKUP($E:$E,'（居民）工资表-10月'!$E:$U,17,0),0)</f>
        <v>17150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45850</v>
      </c>
      <c r="AE15" s="94">
        <f>ROUND(MAX((AD15)*{0.03;0.1;0.2;0.25;0.3;0.35;0.45}-{0;2520;16920;31920;52920;85920;181920},0),2)</f>
        <v>2065</v>
      </c>
      <c r="AF15" s="95">
        <f>IFERROR(VLOOKUP(E:E,'（居民）工资表-10月'!E:AF,28,0)+VLOOKUP(E:E,'（居民）工资表-10月'!E:AG,29,0),0)</f>
        <v>1410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105000</v>
      </c>
      <c r="T16" s="91">
        <f>5000+IFERROR(VLOOKUP($E:$E,'（居民）工资表-10月'!$E:$T,16,0),0)</f>
        <v>35000</v>
      </c>
      <c r="U16" s="91">
        <f>Q16+IFERROR(VLOOKUP($E:$E,'（居民）工资表-10月'!$E:$U,17,0),0)</f>
        <v>18375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51625</v>
      </c>
      <c r="AE16" s="94">
        <f>ROUND(MAX((AD16)*{0.03;0.1;0.2;0.25;0.3;0.35;0.45}-{0;2520;16920;31920;52920;85920;181920},0),2)</f>
        <v>2642.5</v>
      </c>
      <c r="AF16" s="95">
        <f>IFERROR(VLOOKUP(E:E,'（居民）工资表-10月'!E:AF,28,0)+VLOOKUP(E:E,'（居民）工资表-10月'!E:AG,29,0),0)</f>
        <v>1905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112000</v>
      </c>
      <c r="T17" s="91">
        <f>5000+IFERROR(VLOOKUP($E:$E,'（居民）工资表-10月'!$E:$T,16,0),0)</f>
        <v>35000</v>
      </c>
      <c r="U17" s="91">
        <f>Q17+IFERROR(VLOOKUP($E:$E,'（居民）工资表-10月'!$E:$U,17,0),0)</f>
        <v>19600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57400</v>
      </c>
      <c r="AE17" s="94">
        <f>ROUND(MAX((AD17)*{0.03;0.1;0.2;0.25;0.3;0.35;0.45}-{0;2520;16920;31920;52920;85920;181920},0),2)</f>
        <v>3220</v>
      </c>
      <c r="AF17" s="95">
        <f>IFERROR(VLOOKUP(E:E,'（居民）工资表-10月'!E:AF,28,0)+VLOOKUP(E:E,'（居民）工资表-10月'!E:AG,29,0),0)</f>
        <v>2400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119000</v>
      </c>
      <c r="T18" s="91">
        <f>5000+IFERROR(VLOOKUP($E:$E,'（居民）工资表-10月'!$E:$T,16,0),0)</f>
        <v>35000</v>
      </c>
      <c r="U18" s="91">
        <f>Q18+IFERROR(VLOOKUP($E:$E,'（居民）工资表-10月'!$E:$U,17,0),0)</f>
        <v>20825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63175</v>
      </c>
      <c r="AE18" s="94">
        <f>ROUND(MAX((AD18)*{0.03;0.1;0.2;0.25;0.3;0.35;0.45}-{0;2520;16920;31920;52920;85920;181920},0),2)</f>
        <v>3797.5</v>
      </c>
      <c r="AF18" s="95">
        <f>IFERROR(VLOOKUP(E:E,'（居民）工资表-10月'!E:AF,28,0)+VLOOKUP(E:E,'（居民）工资表-10月'!E:AG,29,0),0)</f>
        <v>2895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126000</v>
      </c>
      <c r="T19" s="91">
        <f>5000+IFERROR(VLOOKUP($E:$E,'（居民）工资表-10月'!$E:$T,16,0),0)</f>
        <v>35000</v>
      </c>
      <c r="U19" s="91">
        <f>Q19+IFERROR(VLOOKUP($E:$E,'（居民）工资表-10月'!$E:$U,17,0),0)</f>
        <v>22050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68950</v>
      </c>
      <c r="AE19" s="94">
        <f>ROUND(MAX((AD19)*{0.03;0.1;0.2;0.25;0.3;0.35;0.45}-{0;2520;16920;31920;52920;85920;181920},0),2)</f>
        <v>4375</v>
      </c>
      <c r="AF19" s="95">
        <f>IFERROR(VLOOKUP(E:E,'（居民）工资表-10月'!E:AF,28,0)+VLOOKUP(E:E,'（居民）工资表-10月'!E:AG,29,0),0)</f>
        <v>3390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133000</v>
      </c>
      <c r="T20" s="91">
        <f>5000+IFERROR(VLOOKUP($E:$E,'（居民）工资表-10月'!$E:$T,16,0),0)</f>
        <v>35000</v>
      </c>
      <c r="U20" s="91">
        <f>Q20+IFERROR(VLOOKUP($E:$E,'（居民）工资表-10月'!$E:$U,17,0),0)</f>
        <v>23275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74725</v>
      </c>
      <c r="AE20" s="94">
        <f>ROUND(MAX((AD20)*{0.03;0.1;0.2;0.25;0.3;0.35;0.45}-{0;2520;16920;31920;52920;85920;181920},0),2)</f>
        <v>4952.5</v>
      </c>
      <c r="AF20" s="95">
        <f>IFERROR(VLOOKUP(E:E,'（居民）工资表-10月'!E:AF,28,0)+VLOOKUP(E:E,'（居民）工资表-10月'!E:AG,29,0),0)</f>
        <v>3885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140000</v>
      </c>
      <c r="T21" s="91">
        <f>5000+IFERROR(VLOOKUP($E:$E,'（居民）工资表-10月'!$E:$T,16,0),0)</f>
        <v>35000</v>
      </c>
      <c r="U21" s="91">
        <f>Q21+IFERROR(VLOOKUP($E:$E,'（居民）工资表-10月'!$E:$U,17,0),0)</f>
        <v>24500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80500</v>
      </c>
      <c r="AE21" s="94">
        <f>ROUND(MAX((AD21)*{0.03;0.1;0.2;0.25;0.3;0.35;0.45}-{0;2520;16920;31920;52920;85920;181920},0),2)</f>
        <v>5530</v>
      </c>
      <c r="AF21" s="95">
        <f>IFERROR(VLOOKUP(E:E,'（居民）工资表-10月'!E:AF,28,0)+VLOOKUP(E:E,'（居民）工资表-10月'!E:AG,29,0),0)</f>
        <v>4380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147000</v>
      </c>
      <c r="T22" s="91">
        <f>5000+IFERROR(VLOOKUP($E:$E,'（居民）工资表-10月'!$E:$T,16,0),0)</f>
        <v>35000</v>
      </c>
      <c r="U22" s="91">
        <f>Q22+IFERROR(VLOOKUP($E:$E,'（居民）工资表-10月'!$E:$U,17,0),0)</f>
        <v>25725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86275</v>
      </c>
      <c r="AE22" s="94">
        <f>ROUND(MAX((AD22)*{0.03;0.1;0.2;0.25;0.3;0.35;0.45}-{0;2520;16920;31920;52920;85920;181920},0),2)</f>
        <v>6107.5</v>
      </c>
      <c r="AF22" s="95">
        <f>IFERROR(VLOOKUP(E:E,'（居民）工资表-10月'!E:AF,28,0)+VLOOKUP(E:E,'（居民）工资表-10月'!E:AG,29,0),0)</f>
        <v>4875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154000</v>
      </c>
      <c r="T23" s="91">
        <f>5000+IFERROR(VLOOKUP($E:$E,'（居民）工资表-10月'!$E:$T,16,0),0)</f>
        <v>35000</v>
      </c>
      <c r="U23" s="91">
        <f>Q23+IFERROR(VLOOKUP($E:$E,'（居民）工资表-10月'!$E:$U,17,0),0)</f>
        <v>26950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92050</v>
      </c>
      <c r="AE23" s="94">
        <f>ROUND(MAX((AD23)*{0.03;0.1;0.2;0.25;0.3;0.35;0.45}-{0;2520;16920;31920;52920;85920;181920},0),2)</f>
        <v>6685</v>
      </c>
      <c r="AF23" s="95">
        <f>IFERROR(VLOOKUP(E:E,'（居民）工资表-10月'!E:AF,28,0)+VLOOKUP(E:E,'（居民）工资表-10月'!E:AG,29,0),0)</f>
        <v>5370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1750000</v>
      </c>
      <c r="T24" s="74">
        <f t="shared" si="12"/>
        <v>700000</v>
      </c>
      <c r="U24" s="74">
        <f t="shared" si="12"/>
        <v>306250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743750</v>
      </c>
      <c r="AE24" s="74">
        <f t="shared" si="12"/>
        <v>44437.75</v>
      </c>
      <c r="AF24" s="74">
        <f t="shared" si="12"/>
        <v>34605</v>
      </c>
      <c r="AG24" s="74">
        <f t="shared" si="12"/>
        <v>9832.75</v>
      </c>
      <c r="AH24" s="74">
        <f t="shared" si="12"/>
        <v>196417.25</v>
      </c>
      <c r="AI24" s="105">
        <f t="shared" si="12"/>
        <v>0</v>
      </c>
      <c r="AJ24" s="74">
        <f t="shared" si="12"/>
        <v>196417.25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196417.25</v>
      </c>
      <c r="C29" s="48">
        <f>AG24</f>
        <v>9832.75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24000</v>
      </c>
      <c r="T4" s="91">
        <f>5000+IFERROR(VLOOKUP($E:$E,'（居民）工资表-11月'!$E:$T,16,0),0)</f>
        <v>40000</v>
      </c>
      <c r="U4" s="91">
        <f>Q4+IFERROR(VLOOKUP($E:$E,'（居民）工资表-11月'!$E:$U,17,0),0)</f>
        <v>4200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-20200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32000</v>
      </c>
      <c r="T5" s="91">
        <f>5000+IFERROR(VLOOKUP($E:$E,'（居民）工资表-11月'!$E:$T,16,0),0)</f>
        <v>40000</v>
      </c>
      <c r="U5" s="91">
        <f>Q5+IFERROR(VLOOKUP($E:$E,'（居民）工资表-11月'!$E:$U,17,0),0)</f>
        <v>5600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-13600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40000</v>
      </c>
      <c r="T6" s="91">
        <f>5000+IFERROR(VLOOKUP($E:$E,'（居民）工资表-11月'!$E:$T,16,0),0)</f>
        <v>40000</v>
      </c>
      <c r="U6" s="91">
        <f>Q6+IFERROR(VLOOKUP($E:$E,'（居民）工资表-11月'!$E:$U,17,0),0)</f>
        <v>7000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-7000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48000</v>
      </c>
      <c r="T7" s="91">
        <f>5000+IFERROR(VLOOKUP($E:$E,'（居民）工资表-11月'!$E:$T,16,0),0)</f>
        <v>40000</v>
      </c>
      <c r="U7" s="91">
        <f>Q7+IFERROR(VLOOKUP($E:$E,'（居民）工资表-11月'!$E:$U,17,0),0)</f>
        <v>8400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-400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56000</v>
      </c>
      <c r="T8" s="91">
        <f>5000+IFERROR(VLOOKUP($E:$E,'（居民）工资表-11月'!$E:$T,16,0),0)</f>
        <v>40000</v>
      </c>
      <c r="U8" s="91">
        <f>Q8+IFERROR(VLOOKUP($E:$E,'（居民）工资表-11月'!$E:$U,17,0),0)</f>
        <v>9800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6200</v>
      </c>
      <c r="AE8" s="94">
        <f>ROUND(MAX((AD8)*{0.03;0.1;0.2;0.25;0.3;0.35;0.45}-{0;2520;16920;31920;52920;85920;181920},0),2)</f>
        <v>186</v>
      </c>
      <c r="AF8" s="95">
        <f>IFERROR(VLOOKUP(E:E,'（居民）工资表-11月'!E:AF,28,0)+VLOOKUP(E:E,'（居民）工资表-11月'!E:AG,29,0),0)</f>
        <v>162.75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64000</v>
      </c>
      <c r="T9" s="91">
        <f>5000+IFERROR(VLOOKUP($E:$E,'（居民）工资表-11月'!$E:$T,16,0),0)</f>
        <v>40000</v>
      </c>
      <c r="U9" s="91">
        <f>Q9+IFERROR(VLOOKUP($E:$E,'（居民）工资表-11月'!$E:$U,17,0),0)</f>
        <v>11200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12800</v>
      </c>
      <c r="AE9" s="94">
        <f>ROUND(MAX((AD9)*{0.03;0.1;0.2;0.25;0.3;0.35;0.45}-{0;2520;16920;31920;52920;85920;181920},0),2)</f>
        <v>384</v>
      </c>
      <c r="AF9" s="95">
        <f>IFERROR(VLOOKUP(E:E,'（居民）工资表-11月'!E:AF,28,0)+VLOOKUP(E:E,'（居民）工资表-11月'!E:AG,29,0),0)</f>
        <v>336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72000</v>
      </c>
      <c r="T10" s="91">
        <f>5000+IFERROR(VLOOKUP($E:$E,'（居民）工资表-11月'!$E:$T,16,0),0)</f>
        <v>40000</v>
      </c>
      <c r="U10" s="91">
        <f>Q10+IFERROR(VLOOKUP($E:$E,'（居民）工资表-11月'!$E:$U,17,0),0)</f>
        <v>12600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19400</v>
      </c>
      <c r="AE10" s="94">
        <f>ROUND(MAX((AD10)*{0.03;0.1;0.2;0.25;0.3;0.35;0.45}-{0;2520;16920;31920;52920;85920;181920},0),2)</f>
        <v>582</v>
      </c>
      <c r="AF10" s="95">
        <f>IFERROR(VLOOKUP(E:E,'（居民）工资表-11月'!E:AF,28,0)+VLOOKUP(E:E,'（居民）工资表-11月'!E:AG,29,0),0)</f>
        <v>509.25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80000</v>
      </c>
      <c r="T11" s="91">
        <f>5000+IFERROR(VLOOKUP($E:$E,'（居民）工资表-11月'!$E:$T,16,0),0)</f>
        <v>40000</v>
      </c>
      <c r="U11" s="91">
        <f>Q11+IFERROR(VLOOKUP($E:$E,'（居民）工资表-11月'!$E:$U,17,0),0)</f>
        <v>14000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26000</v>
      </c>
      <c r="AE11" s="94">
        <f>ROUND(MAX((AD11)*{0.03;0.1;0.2;0.25;0.3;0.35;0.45}-{0;2520;16920;31920;52920;85920;181920},0),2)</f>
        <v>780</v>
      </c>
      <c r="AF11" s="95">
        <f>IFERROR(VLOOKUP(E:E,'（居民）工资表-11月'!E:AF,28,0)+VLOOKUP(E:E,'（居民）工资表-11月'!E:AG,29,0),0)</f>
        <v>682.5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88000</v>
      </c>
      <c r="T12" s="91">
        <f>5000+IFERROR(VLOOKUP($E:$E,'（居民）工资表-11月'!$E:$T,16,0),0)</f>
        <v>40000</v>
      </c>
      <c r="U12" s="91">
        <f>Q12+IFERROR(VLOOKUP($E:$E,'（居民）工资表-11月'!$E:$U,17,0),0)</f>
        <v>15400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32600</v>
      </c>
      <c r="AE12" s="94">
        <f>ROUND(MAX((AD12)*{0.03;0.1;0.2;0.25;0.3;0.35;0.45}-{0;2520;16920;31920;52920;85920;181920},0),2)</f>
        <v>978</v>
      </c>
      <c r="AF12" s="95">
        <f>IFERROR(VLOOKUP(E:E,'（居民）工资表-11月'!E:AF,28,0)+VLOOKUP(E:E,'（居民）工资表-11月'!E:AG,29,0),0)</f>
        <v>855.75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96000</v>
      </c>
      <c r="T13" s="91">
        <f>5000+IFERROR(VLOOKUP($E:$E,'（居民）工资表-11月'!$E:$T,16,0),0)</f>
        <v>40000</v>
      </c>
      <c r="U13" s="91">
        <f>Q13+IFERROR(VLOOKUP($E:$E,'（居民）工资表-11月'!$E:$U,17,0),0)</f>
        <v>16800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39200</v>
      </c>
      <c r="AE13" s="94">
        <f>ROUND(MAX((AD13)*{0.03;0.1;0.2;0.25;0.3;0.35;0.45}-{0;2520;16920;31920;52920;85920;181920},0),2)</f>
        <v>1400</v>
      </c>
      <c r="AF13" s="95">
        <f>IFERROR(VLOOKUP(E:E,'（居民）工资表-11月'!E:AF,28,0)+VLOOKUP(E:E,'（居民）工资表-11月'!E:AG,29,0),0)</f>
        <v>1029</v>
      </c>
      <c r="AG13" s="95">
        <f t="shared" si="7"/>
        <v>371</v>
      </c>
      <c r="AH13" s="102">
        <f t="shared" si="8"/>
        <v>9529</v>
      </c>
      <c r="AI13" s="103"/>
      <c r="AJ13" s="102">
        <f t="shared" si="9"/>
        <v>9529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104000</v>
      </c>
      <c r="T14" s="91">
        <f>5000+IFERROR(VLOOKUP($E:$E,'（居民）工资表-11月'!$E:$T,16,0),0)</f>
        <v>40000</v>
      </c>
      <c r="U14" s="91">
        <f>Q14+IFERROR(VLOOKUP($E:$E,'（居民）工资表-11月'!$E:$U,17,0),0)</f>
        <v>18200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45800</v>
      </c>
      <c r="AE14" s="94">
        <f>ROUND(MAX((AD14)*{0.03;0.1;0.2;0.25;0.3;0.35;0.45}-{0;2520;16920;31920;52920;85920;181920},0),2)</f>
        <v>2060</v>
      </c>
      <c r="AF14" s="95">
        <f>IFERROR(VLOOKUP(E:E,'（居民）工资表-11月'!E:AF,28,0)+VLOOKUP(E:E,'（居民）工资表-11月'!E:AG,29,0),0)</f>
        <v>1487.5</v>
      </c>
      <c r="AG14" s="95">
        <f t="shared" si="7"/>
        <v>572.5</v>
      </c>
      <c r="AH14" s="102">
        <f t="shared" si="8"/>
        <v>10152.5</v>
      </c>
      <c r="AI14" s="103"/>
      <c r="AJ14" s="102">
        <f t="shared" si="9"/>
        <v>10152.5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112000</v>
      </c>
      <c r="T15" s="91">
        <f>5000+IFERROR(VLOOKUP($E:$E,'（居民）工资表-11月'!$E:$T,16,0),0)</f>
        <v>40000</v>
      </c>
      <c r="U15" s="91">
        <f>Q15+IFERROR(VLOOKUP($E:$E,'（居民）工资表-11月'!$E:$U,17,0),0)</f>
        <v>19600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52400</v>
      </c>
      <c r="AE15" s="94">
        <f>ROUND(MAX((AD15)*{0.03;0.1;0.2;0.25;0.3;0.35;0.45}-{0;2520;16920;31920;52920;85920;181920},0),2)</f>
        <v>2720</v>
      </c>
      <c r="AF15" s="95">
        <f>IFERROR(VLOOKUP(E:E,'（居民）工资表-11月'!E:AF,28,0)+VLOOKUP(E:E,'（居民）工资表-11月'!E:AG,29,0),0)</f>
        <v>2065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120000</v>
      </c>
      <c r="T16" s="91">
        <f>5000+IFERROR(VLOOKUP($E:$E,'（居民）工资表-11月'!$E:$T,16,0),0)</f>
        <v>40000</v>
      </c>
      <c r="U16" s="91">
        <f>Q16+IFERROR(VLOOKUP($E:$E,'（居民）工资表-11月'!$E:$U,17,0),0)</f>
        <v>21000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59000</v>
      </c>
      <c r="AE16" s="94">
        <f>ROUND(MAX((AD16)*{0.03;0.1;0.2;0.25;0.3;0.35;0.45}-{0;2520;16920;31920;52920;85920;181920},0),2)</f>
        <v>3380</v>
      </c>
      <c r="AF16" s="95">
        <f>IFERROR(VLOOKUP(E:E,'（居民）工资表-11月'!E:AF,28,0)+VLOOKUP(E:E,'（居民）工资表-11月'!E:AG,29,0),0)</f>
        <v>2642.5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128000</v>
      </c>
      <c r="T17" s="91">
        <f>5000+IFERROR(VLOOKUP($E:$E,'（居民）工资表-11月'!$E:$T,16,0),0)</f>
        <v>40000</v>
      </c>
      <c r="U17" s="91">
        <f>Q17+IFERROR(VLOOKUP($E:$E,'（居民）工资表-11月'!$E:$U,17,0),0)</f>
        <v>22400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65600</v>
      </c>
      <c r="AE17" s="94">
        <f>ROUND(MAX((AD17)*{0.03;0.1;0.2;0.25;0.3;0.35;0.45}-{0;2520;16920;31920;52920;85920;181920},0),2)</f>
        <v>4040</v>
      </c>
      <c r="AF17" s="95">
        <f>IFERROR(VLOOKUP(E:E,'（居民）工资表-11月'!E:AF,28,0)+VLOOKUP(E:E,'（居民）工资表-11月'!E:AG,29,0),0)</f>
        <v>3220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136000</v>
      </c>
      <c r="T18" s="91">
        <f>5000+IFERROR(VLOOKUP($E:$E,'（居民）工资表-11月'!$E:$T,16,0),0)</f>
        <v>40000</v>
      </c>
      <c r="U18" s="91">
        <f>Q18+IFERROR(VLOOKUP($E:$E,'（居民）工资表-11月'!$E:$U,17,0),0)</f>
        <v>23800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72200</v>
      </c>
      <c r="AE18" s="94">
        <f>ROUND(MAX((AD18)*{0.03;0.1;0.2;0.25;0.3;0.35;0.45}-{0;2520;16920;31920;52920;85920;181920},0),2)</f>
        <v>4700</v>
      </c>
      <c r="AF18" s="95">
        <f>IFERROR(VLOOKUP(E:E,'（居民）工资表-11月'!E:AF,28,0)+VLOOKUP(E:E,'（居民）工资表-11月'!E:AG,29,0),0)</f>
        <v>3797.5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144000</v>
      </c>
      <c r="T19" s="91">
        <f>5000+IFERROR(VLOOKUP($E:$E,'（居民）工资表-11月'!$E:$T,16,0),0)</f>
        <v>40000</v>
      </c>
      <c r="U19" s="91">
        <f>Q19+IFERROR(VLOOKUP($E:$E,'（居民）工资表-11月'!$E:$U,17,0),0)</f>
        <v>25200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78800</v>
      </c>
      <c r="AE19" s="94">
        <f>ROUND(MAX((AD19)*{0.03;0.1;0.2;0.25;0.3;0.35;0.45}-{0;2520;16920;31920;52920;85920;181920},0),2)</f>
        <v>5360</v>
      </c>
      <c r="AF19" s="95">
        <f>IFERROR(VLOOKUP(E:E,'（居民）工资表-11月'!E:AF,28,0)+VLOOKUP(E:E,'（居民）工资表-11月'!E:AG,29,0),0)</f>
        <v>4375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152000</v>
      </c>
      <c r="T20" s="91">
        <f>5000+IFERROR(VLOOKUP($E:$E,'（居民）工资表-11月'!$E:$T,16,0),0)</f>
        <v>40000</v>
      </c>
      <c r="U20" s="91">
        <f>Q20+IFERROR(VLOOKUP($E:$E,'（居民）工资表-11月'!$E:$U,17,0),0)</f>
        <v>26600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85400</v>
      </c>
      <c r="AE20" s="94">
        <f>ROUND(MAX((AD20)*{0.03;0.1;0.2;0.25;0.3;0.35;0.45}-{0;2520;16920;31920;52920;85920;181920},0),2)</f>
        <v>6020</v>
      </c>
      <c r="AF20" s="95">
        <f>IFERROR(VLOOKUP(E:E,'（居民）工资表-11月'!E:AF,28,0)+VLOOKUP(E:E,'（居民）工资表-11月'!E:AG,29,0),0)</f>
        <v>4952.5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160000</v>
      </c>
      <c r="T21" s="91">
        <f>5000+IFERROR(VLOOKUP($E:$E,'（居民）工资表-11月'!$E:$T,16,0),0)</f>
        <v>40000</v>
      </c>
      <c r="U21" s="91">
        <f>Q21+IFERROR(VLOOKUP($E:$E,'（居民）工资表-11月'!$E:$U,17,0),0)</f>
        <v>28000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92000</v>
      </c>
      <c r="AE21" s="94">
        <f>ROUND(MAX((AD21)*{0.03;0.1;0.2;0.25;0.3;0.35;0.45}-{0;2520;16920;31920;52920;85920;181920},0),2)</f>
        <v>6680</v>
      </c>
      <c r="AF21" s="95">
        <f>IFERROR(VLOOKUP(E:E,'（居民）工资表-11月'!E:AF,28,0)+VLOOKUP(E:E,'（居民）工资表-11月'!E:AG,29,0),0)</f>
        <v>5530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168000</v>
      </c>
      <c r="T22" s="91">
        <f>5000+IFERROR(VLOOKUP($E:$E,'（居民）工资表-11月'!$E:$T,16,0),0)</f>
        <v>40000</v>
      </c>
      <c r="U22" s="91">
        <f>Q22+IFERROR(VLOOKUP($E:$E,'（居民）工资表-11月'!$E:$U,17,0),0)</f>
        <v>29400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98600</v>
      </c>
      <c r="AE22" s="94">
        <f>ROUND(MAX((AD22)*{0.03;0.1;0.2;0.25;0.3;0.35;0.45}-{0;2520;16920;31920;52920;85920;181920},0),2)</f>
        <v>7340</v>
      </c>
      <c r="AF22" s="95">
        <f>IFERROR(VLOOKUP(E:E,'（居民）工资表-11月'!E:AF,28,0)+VLOOKUP(E:E,'（居民）工资表-11月'!E:AG,29,0),0)</f>
        <v>6107.5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176000</v>
      </c>
      <c r="T23" s="91">
        <f>5000+IFERROR(VLOOKUP($E:$E,'（居民）工资表-11月'!$E:$T,16,0),0)</f>
        <v>40000</v>
      </c>
      <c r="U23" s="91">
        <f>Q23+IFERROR(VLOOKUP($E:$E,'（居民）工资表-11月'!$E:$U,17,0),0)</f>
        <v>30800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105200</v>
      </c>
      <c r="AE23" s="94">
        <f>ROUND(MAX((AD23)*{0.03;0.1;0.2;0.25;0.3;0.35;0.45}-{0;2520;16920;31920;52920;85920;181920},0),2)</f>
        <v>8000</v>
      </c>
      <c r="AF23" s="95">
        <f>IFERROR(VLOOKUP(E:E,'（居民）工资表-11月'!E:AF,28,0)+VLOOKUP(E:E,'（居民）工资表-11月'!E:AG,29,0),0)</f>
        <v>6685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2000000</v>
      </c>
      <c r="T24" s="74">
        <f t="shared" si="12"/>
        <v>800000</v>
      </c>
      <c r="U24" s="74">
        <f t="shared" si="12"/>
        <v>350000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850000</v>
      </c>
      <c r="AE24" s="74">
        <f t="shared" si="12"/>
        <v>54610</v>
      </c>
      <c r="AF24" s="74">
        <f t="shared" si="12"/>
        <v>44437.75</v>
      </c>
      <c r="AG24" s="74">
        <f t="shared" si="12"/>
        <v>10172.25</v>
      </c>
      <c r="AH24" s="74">
        <f t="shared" si="12"/>
        <v>196077.75</v>
      </c>
      <c r="AI24" s="105">
        <f t="shared" si="12"/>
        <v>0</v>
      </c>
      <c r="AJ24" s="74">
        <f t="shared" si="12"/>
        <v>196077.75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196077.75</v>
      </c>
      <c r="C29" s="48">
        <f>AG24</f>
        <v>10172.25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159</v>
      </c>
      <c r="C1" s="1"/>
      <c r="D1" s="1"/>
      <c r="E1" s="1"/>
    </row>
    <row r="2" ht="21" spans="2:2">
      <c r="B2" s="2"/>
    </row>
    <row r="3" ht="27.75" customHeight="1" spans="2:5">
      <c r="B3" s="3" t="s">
        <v>160</v>
      </c>
      <c r="C3" s="4" t="s">
        <v>161</v>
      </c>
      <c r="D3" s="4" t="s">
        <v>162</v>
      </c>
      <c r="E3" s="4" t="s">
        <v>163</v>
      </c>
    </row>
    <row r="4" ht="29.25" customHeight="1" spans="2:5">
      <c r="B4" s="5">
        <v>1</v>
      </c>
      <c r="C4" s="6" t="s">
        <v>164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165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166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167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168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169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170</v>
      </c>
      <c r="D10" s="7">
        <v>0.45</v>
      </c>
      <c r="E10" s="8">
        <v>181920</v>
      </c>
    </row>
    <row r="13" ht="57" customHeight="1" spans="2:5">
      <c r="B13" s="1" t="s">
        <v>171</v>
      </c>
      <c r="C13" s="1"/>
      <c r="D13" s="1"/>
      <c r="E13" s="1"/>
    </row>
    <row r="14" ht="21" spans="2:2">
      <c r="B14" s="2"/>
    </row>
    <row r="15" ht="27.75" customHeight="1" spans="2:5">
      <c r="B15" s="3" t="s">
        <v>160</v>
      </c>
      <c r="C15" s="4" t="s">
        <v>172</v>
      </c>
      <c r="D15" s="4" t="s">
        <v>162</v>
      </c>
      <c r="E15" s="4" t="s">
        <v>163</v>
      </c>
    </row>
    <row r="16" ht="29.25" customHeight="1" spans="2:5">
      <c r="B16" s="5">
        <v>1</v>
      </c>
      <c r="C16" s="6" t="s">
        <v>173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174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175</v>
      </c>
      <c r="D18" s="7">
        <v>0.4</v>
      </c>
      <c r="E18" s="8">
        <v>7000</v>
      </c>
    </row>
    <row r="21" ht="47.25" customHeight="1" spans="2:5">
      <c r="B21" s="1" t="s">
        <v>176</v>
      </c>
      <c r="C21" s="1"/>
      <c r="D21" s="1"/>
      <c r="E21" s="1"/>
    </row>
    <row r="22" ht="21" spans="2:2">
      <c r="B22" s="2"/>
    </row>
    <row r="23" ht="27.75" customHeight="1" spans="2:5">
      <c r="B23" s="3" t="s">
        <v>160</v>
      </c>
      <c r="C23" s="4" t="s">
        <v>177</v>
      </c>
      <c r="D23" s="4" t="s">
        <v>162</v>
      </c>
      <c r="E23" s="4" t="s">
        <v>163</v>
      </c>
    </row>
    <row r="24" ht="29.25" customHeight="1" spans="2:5">
      <c r="B24" s="5">
        <v>1</v>
      </c>
      <c r="C24" s="6" t="s">
        <v>178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179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180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181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182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183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184</v>
      </c>
      <c r="D30" s="7">
        <v>0.45</v>
      </c>
      <c r="E30" s="8">
        <v>15160</v>
      </c>
    </row>
    <row r="35" ht="57" customHeight="1" spans="2:5">
      <c r="B35" s="9" t="s">
        <v>185</v>
      </c>
      <c r="C35" s="9"/>
      <c r="D35" s="9"/>
      <c r="E35" s="9"/>
    </row>
    <row r="36" ht="14.25"/>
    <row r="37" ht="21.75" customHeight="1" spans="2:5">
      <c r="B37" s="3" t="s">
        <v>160</v>
      </c>
      <c r="C37" s="4" t="s">
        <v>186</v>
      </c>
      <c r="D37" s="4" t="s">
        <v>187</v>
      </c>
      <c r="E37" s="4" t="s">
        <v>163</v>
      </c>
    </row>
    <row r="38" ht="21.75" customHeight="1" spans="2:5">
      <c r="B38" s="5">
        <v>1</v>
      </c>
      <c r="C38" s="6" t="s">
        <v>178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179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180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181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182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183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184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B11" sqref="B11:C11"/>
    </sheetView>
  </sheetViews>
  <sheetFormatPr defaultColWidth="9" defaultRowHeight="13.5"/>
  <cols>
    <col min="1" max="2" width="9" style="151"/>
    <col min="3" max="3" width="10.75" style="151" customWidth="1"/>
    <col min="4" max="4" width="16.75" style="151" customWidth="1"/>
    <col min="5" max="5" width="11.75" style="151" customWidth="1"/>
    <col min="6" max="7" width="13.375" style="151" customWidth="1"/>
    <col min="8" max="8" width="9" style="151"/>
    <col min="9" max="9" width="13.875" style="151" customWidth="1"/>
    <col min="10" max="10" width="12.75" style="151" customWidth="1"/>
    <col min="11" max="11" width="14.5" style="151" customWidth="1"/>
    <col min="12" max="12" width="9" style="151"/>
    <col min="13" max="13" width="9.25" style="151" customWidth="1"/>
    <col min="14" max="16384" width="9" style="151"/>
  </cols>
  <sheetData>
    <row r="1" s="151" customFormat="1" ht="25.5" spans="1:14">
      <c r="A1" s="153" t="s">
        <v>67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="151" customFormat="1" ht="14.25" spans="1:14">
      <c r="A2" s="154"/>
      <c r="B2" s="155"/>
      <c r="C2" s="155"/>
      <c r="D2" s="156"/>
      <c r="E2" s="156"/>
      <c r="F2" s="156"/>
      <c r="G2" s="154"/>
      <c r="H2" s="154"/>
      <c r="I2" s="154"/>
      <c r="J2" s="156"/>
      <c r="K2" s="156"/>
      <c r="L2" s="156"/>
      <c r="M2" s="156"/>
      <c r="N2" s="156"/>
    </row>
    <row r="3" s="151" customFormat="1" spans="1:14">
      <c r="A3" s="157"/>
      <c r="B3" s="158"/>
      <c r="C3" s="159"/>
      <c r="D3" s="160"/>
      <c r="E3" s="161"/>
      <c r="F3" s="161"/>
      <c r="G3" s="162"/>
      <c r="H3" s="163"/>
      <c r="I3" s="158"/>
      <c r="J3" s="159"/>
      <c r="K3" s="160"/>
      <c r="L3" s="229"/>
      <c r="M3" s="156"/>
      <c r="N3" s="156"/>
    </row>
    <row r="4" s="151" customFormat="1" spans="1:14">
      <c r="A4" s="157"/>
      <c r="B4" s="164" t="s">
        <v>68</v>
      </c>
      <c r="C4" s="164"/>
      <c r="D4" s="164"/>
      <c r="E4" s="164"/>
      <c r="F4" s="164"/>
      <c r="G4" s="164"/>
      <c r="H4" s="163"/>
      <c r="K4" s="156"/>
      <c r="L4" s="230" t="s">
        <v>69</v>
      </c>
      <c r="M4" s="231">
        <f ca="1">NOW()</f>
        <v>44293.6523148148</v>
      </c>
      <c r="N4" s="156"/>
    </row>
    <row r="5" s="151" customFormat="1" spans="1:14">
      <c r="A5" s="165"/>
      <c r="B5" s="166" t="s">
        <v>70</v>
      </c>
      <c r="C5" s="160"/>
      <c r="D5" s="160"/>
      <c r="E5" s="160"/>
      <c r="F5" s="160"/>
      <c r="G5" s="160"/>
      <c r="H5" s="167"/>
      <c r="I5" s="163"/>
      <c r="J5" s="158"/>
      <c r="K5" s="159"/>
      <c r="L5" s="229"/>
      <c r="M5" s="156"/>
      <c r="N5" s="156"/>
    </row>
    <row r="6" s="151" customFormat="1" ht="9.75" customHeight="1" spans="1:14">
      <c r="A6" s="168"/>
      <c r="B6" s="168"/>
      <c r="C6" s="168"/>
      <c r="D6" s="168"/>
      <c r="E6" s="168"/>
      <c r="F6" s="168"/>
      <c r="G6" s="168"/>
      <c r="H6" s="168"/>
      <c r="I6" s="232"/>
      <c r="J6" s="232"/>
      <c r="K6" s="233"/>
      <c r="L6" s="233"/>
      <c r="M6" s="233"/>
      <c r="N6" s="233"/>
    </row>
    <row r="7" s="151" customFormat="1" ht="15" spans="1:14">
      <c r="A7" s="168"/>
      <c r="B7" s="169" t="s">
        <v>71</v>
      </c>
      <c r="C7" s="170"/>
      <c r="D7" s="170"/>
      <c r="E7" s="170"/>
      <c r="F7" s="170"/>
      <c r="G7" s="170"/>
      <c r="H7" s="170"/>
      <c r="I7" s="234"/>
      <c r="J7" s="235" t="s">
        <v>72</v>
      </c>
      <c r="K7" s="236"/>
      <c r="L7" s="155"/>
      <c r="M7" s="155"/>
      <c r="N7" s="237"/>
    </row>
    <row r="8" s="151" customFormat="1" ht="14.25" spans="1:14">
      <c r="A8" s="168"/>
      <c r="B8" s="171" t="s">
        <v>73</v>
      </c>
      <c r="C8" s="172"/>
      <c r="D8" s="172"/>
      <c r="E8" s="173">
        <f>G25</f>
        <v>8799.32</v>
      </c>
      <c r="F8" s="174"/>
      <c r="G8" s="174"/>
      <c r="H8" s="175"/>
      <c r="I8" s="238"/>
      <c r="J8" s="239" t="s">
        <v>74</v>
      </c>
      <c r="K8" s="239"/>
      <c r="L8" s="239"/>
      <c r="M8" s="239"/>
      <c r="N8" s="239"/>
    </row>
    <row r="9" s="151" customFormat="1" ht="14.25" spans="1:14">
      <c r="A9" s="168"/>
      <c r="B9" s="176" t="s">
        <v>75</v>
      </c>
      <c r="C9" s="177"/>
      <c r="D9" s="177"/>
      <c r="E9" s="178">
        <f>G24</f>
        <v>8799.32</v>
      </c>
      <c r="F9" s="179"/>
      <c r="G9" s="179"/>
      <c r="H9" s="180"/>
      <c r="I9" s="240"/>
      <c r="J9" s="241" t="s">
        <v>76</v>
      </c>
      <c r="K9" s="241"/>
      <c r="L9" s="241"/>
      <c r="M9" s="241"/>
      <c r="N9" s="241"/>
    </row>
    <row r="10" s="151" customFormat="1" ht="15" customHeight="1" spans="1:14">
      <c r="A10" s="168"/>
      <c r="B10" s="181" t="s">
        <v>77</v>
      </c>
      <c r="C10" s="182"/>
      <c r="D10" s="183">
        <f>G24</f>
        <v>8799.32</v>
      </c>
      <c r="E10" s="184" t="s">
        <v>78</v>
      </c>
      <c r="F10" s="185"/>
      <c r="G10" s="186"/>
      <c r="H10" s="187">
        <v>0</v>
      </c>
      <c r="I10" s="242"/>
      <c r="J10" s="241" t="s">
        <v>79</v>
      </c>
      <c r="K10" s="243"/>
      <c r="L10" s="243"/>
      <c r="M10" s="243"/>
      <c r="N10" s="243"/>
    </row>
    <row r="11" s="151" customFormat="1" ht="14.25" spans="1:14">
      <c r="A11" s="168"/>
      <c r="B11" s="188" t="s">
        <v>80</v>
      </c>
      <c r="C11" s="189"/>
      <c r="D11" s="190"/>
      <c r="E11" s="191" t="s">
        <v>81</v>
      </c>
      <c r="F11" s="192"/>
      <c r="G11" s="193"/>
      <c r="H11" s="194"/>
      <c r="I11" s="244"/>
      <c r="J11" s="245"/>
      <c r="K11" s="244"/>
      <c r="L11" s="244"/>
      <c r="M11" s="244"/>
      <c r="N11" s="246"/>
    </row>
    <row r="12" s="151" customFormat="1" spans="1:14">
      <c r="A12" s="165"/>
      <c r="B12" s="188" t="s">
        <v>82</v>
      </c>
      <c r="C12" s="189"/>
      <c r="D12" s="190">
        <v>0</v>
      </c>
      <c r="E12" s="191" t="s">
        <v>83</v>
      </c>
      <c r="F12" s="192"/>
      <c r="G12" s="193"/>
      <c r="H12" s="194"/>
      <c r="I12" s="247"/>
      <c r="J12" s="248"/>
      <c r="K12" s="249"/>
      <c r="L12" s="249"/>
      <c r="M12" s="249"/>
      <c r="N12" s="249"/>
    </row>
    <row r="13" s="151" customFormat="1" ht="14.25" spans="1:14">
      <c r="A13" s="156"/>
      <c r="B13" s="195" t="s">
        <v>84</v>
      </c>
      <c r="C13" s="196"/>
      <c r="D13" s="197">
        <v>0</v>
      </c>
      <c r="E13" s="198"/>
      <c r="F13" s="199"/>
      <c r="G13" s="200"/>
      <c r="H13" s="201"/>
      <c r="I13" s="168"/>
      <c r="J13" s="250"/>
      <c r="K13" s="251"/>
      <c r="L13" s="251"/>
      <c r="M13" s="251"/>
      <c r="N13" s="251"/>
    </row>
    <row r="14" s="151" customFormat="1" ht="5.25" customHeight="1" spans="1:14">
      <c r="A14" s="202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</row>
    <row r="15" s="151" customFormat="1" spans="1:14">
      <c r="A15" s="156" t="s">
        <v>85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</row>
    <row r="16" s="151" customFormat="1" ht="3" customHeight="1" spans="1:14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</row>
    <row r="17" s="151" customFormat="1" ht="18.75" spans="2:13">
      <c r="B17" s="203" t="s">
        <v>2</v>
      </c>
      <c r="C17" s="204" t="s">
        <v>86</v>
      </c>
      <c r="D17" s="204" t="s">
        <v>87</v>
      </c>
      <c r="E17" s="204"/>
      <c r="F17" s="205" t="s">
        <v>88</v>
      </c>
      <c r="G17" s="206" t="s">
        <v>89</v>
      </c>
      <c r="H17" s="207" t="s">
        <v>90</v>
      </c>
      <c r="J17" s="252" t="s">
        <v>91</v>
      </c>
      <c r="K17" s="252"/>
      <c r="L17" s="252"/>
      <c r="M17" s="252"/>
    </row>
    <row r="18" s="152" customFormat="1" ht="16.5" spans="2:13">
      <c r="B18" s="208">
        <v>1</v>
      </c>
      <c r="C18" s="209" t="s">
        <v>92</v>
      </c>
      <c r="D18" s="210" t="s">
        <v>93</v>
      </c>
      <c r="E18" s="210"/>
      <c r="F18" s="211"/>
      <c r="G18" s="212">
        <f>'（居民）工资表-4月'!E10</f>
        <v>3852.36</v>
      </c>
      <c r="H18" s="213"/>
      <c r="J18" s="252"/>
      <c r="K18" s="252"/>
      <c r="L18" s="252"/>
      <c r="M18" s="252"/>
    </row>
    <row r="19" s="152" customFormat="1" ht="16.5" spans="2:13">
      <c r="B19" s="208">
        <v>2</v>
      </c>
      <c r="C19" s="209"/>
      <c r="D19" s="210" t="s">
        <v>94</v>
      </c>
      <c r="E19" s="210" t="s">
        <v>95</v>
      </c>
      <c r="F19" s="211"/>
      <c r="G19" s="212">
        <f>社保!AU10</f>
        <v>4166.96</v>
      </c>
      <c r="H19" s="214"/>
      <c r="J19" s="252"/>
      <c r="K19" s="252"/>
      <c r="L19" s="252"/>
      <c r="M19" s="252"/>
    </row>
    <row r="20" s="152" customFormat="1" ht="16.5" spans="2:13">
      <c r="B20" s="208">
        <v>3</v>
      </c>
      <c r="C20" s="209"/>
      <c r="D20" s="210" t="s">
        <v>96</v>
      </c>
      <c r="E20" s="210" t="s">
        <v>95</v>
      </c>
      <c r="F20" s="211"/>
      <c r="G20" s="212">
        <f>社保!AV10</f>
        <v>540</v>
      </c>
      <c r="H20" s="214"/>
      <c r="J20" s="252"/>
      <c r="K20" s="252"/>
      <c r="L20" s="252"/>
      <c r="M20" s="252"/>
    </row>
    <row r="21" s="152" customFormat="1" ht="16.5" spans="2:13">
      <c r="B21" s="208">
        <v>4</v>
      </c>
      <c r="C21" s="209"/>
      <c r="D21" s="215" t="s">
        <v>97</v>
      </c>
      <c r="E21" s="215"/>
      <c r="F21" s="216"/>
      <c r="G21" s="217">
        <f>SUM(G18:G20)</f>
        <v>8559.32</v>
      </c>
      <c r="H21" s="213"/>
      <c r="J21" s="252"/>
      <c r="K21" s="252"/>
      <c r="L21" s="252"/>
      <c r="M21" s="252"/>
    </row>
    <row r="22" s="152" customFormat="1" ht="16.5" spans="2:13">
      <c r="B22" s="208">
        <v>5</v>
      </c>
      <c r="C22" s="209" t="s">
        <v>98</v>
      </c>
      <c r="D22" s="215" t="s">
        <v>99</v>
      </c>
      <c r="E22" s="215"/>
      <c r="F22" s="216"/>
      <c r="G22" s="217">
        <f>社保!AW10</f>
        <v>240</v>
      </c>
      <c r="H22" s="213"/>
      <c r="J22" s="252"/>
      <c r="K22" s="252"/>
      <c r="L22" s="252"/>
      <c r="M22" s="252"/>
    </row>
    <row r="23" s="152" customFormat="1" ht="16.5" spans="2:13">
      <c r="B23" s="208">
        <v>6</v>
      </c>
      <c r="C23" s="218"/>
      <c r="D23" s="219"/>
      <c r="E23" s="219"/>
      <c r="F23" s="219"/>
      <c r="G23" s="220"/>
      <c r="H23" s="213"/>
      <c r="J23" s="252"/>
      <c r="K23" s="252"/>
      <c r="L23" s="252"/>
      <c r="M23" s="252"/>
    </row>
    <row r="24" s="151" customFormat="1" ht="16.5" spans="2:8">
      <c r="B24" s="221" t="s">
        <v>100</v>
      </c>
      <c r="C24" s="222"/>
      <c r="D24" s="222"/>
      <c r="E24" s="222"/>
      <c r="F24" s="222"/>
      <c r="G24" s="223">
        <f>G23+G22+G21</f>
        <v>8799.32</v>
      </c>
      <c r="H24" s="224"/>
    </row>
    <row r="25" s="151" customFormat="1" ht="17.25" spans="2:9">
      <c r="B25" s="225" t="s">
        <v>101</v>
      </c>
      <c r="C25" s="226"/>
      <c r="D25" s="226"/>
      <c r="E25" s="226"/>
      <c r="F25" s="226"/>
      <c r="G25" s="227">
        <f>G24</f>
        <v>8799.32</v>
      </c>
      <c r="H25" s="228"/>
      <c r="I25" s="253"/>
    </row>
    <row r="26" s="151" customFormat="1" ht="14.25"/>
    <row r="27" s="151" customFormat="1" spans="2:15"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</row>
    <row r="30" s="151" customFormat="1" spans="10:10">
      <c r="J30" s="254"/>
    </row>
    <row r="32" s="151" customFormat="1" spans="10:10">
      <c r="J32" s="255"/>
    </row>
    <row r="35" s="151" customFormat="1" spans="9:9">
      <c r="I35" s="256"/>
    </row>
  </sheetData>
  <mergeCells count="28">
    <mergeCell ref="A1:N1"/>
    <mergeCell ref="B4:F4"/>
    <mergeCell ref="B7:H7"/>
    <mergeCell ref="B8:D8"/>
    <mergeCell ref="E8:H8"/>
    <mergeCell ref="B9:D9"/>
    <mergeCell ref="E9:H9"/>
    <mergeCell ref="B10:C10"/>
    <mergeCell ref="E10:G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B27:O27"/>
    <mergeCell ref="C18:C21"/>
    <mergeCell ref="J17:M23"/>
  </mergeCells>
  <conditionalFormatting sqref="F18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conditionalFormatting sqref="F20:H20 F19 E19:E20 C21:H21">
    <cfRule type="cellIs" dxfId="2" priority="4" stopIfTrue="1" operator="equal">
      <formula>"現金"</formula>
    </cfRule>
    <cfRule type="cellIs" dxfId="3" priority="3" stopIfTrue="1" operator="equal">
      <formula>"信用卡"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403.88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262.56*2</f>
        <v>525.12</v>
      </c>
      <c r="N4" s="71">
        <v>69.82</v>
      </c>
      <c r="O4" s="71">
        <f>16.41*2</f>
        <v>32.82</v>
      </c>
      <c r="P4" s="71">
        <f>90*2</f>
        <v>180</v>
      </c>
      <c r="Q4" s="89">
        <f>ROUND(SUM(M4:P4),2)</f>
        <v>807.76</v>
      </c>
      <c r="R4" s="70">
        <v>0</v>
      </c>
      <c r="S4" s="90">
        <f>L4+IFERROR(VLOOKUP($E:$E,'（居民）工资表-1月'!$E:$S,15,0),0)</f>
        <v>4400</v>
      </c>
      <c r="T4" s="91">
        <f>5000+IFERROR(VLOOKUP($E:$E,'（居民）工资表-1月'!$E:$T,16,0),0)</f>
        <v>5000</v>
      </c>
      <c r="U4" s="91">
        <f>Q4+IFERROR(VLOOKUP($E:$E,'（居民）工资表-1月'!$E:$U,17,0),0)</f>
        <v>807.76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-1407.76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0</v>
      </c>
      <c r="AG4" s="95">
        <f>IF((AE4-AF4)&lt;0,0,AE4-AF4)</f>
        <v>0</v>
      </c>
      <c r="AH4" s="102">
        <f>ROUND(IF((L4-Q4-AG4)&lt;0,0,(L4-Q4-AG4)),2)</f>
        <v>3592.24</v>
      </c>
      <c r="AI4" s="103"/>
      <c r="AJ4" s="102">
        <f>AH4+AI4</f>
        <v>3592.24</v>
      </c>
      <c r="AK4" s="104"/>
      <c r="AL4" s="102">
        <f>AJ4+AG4+AK4</f>
        <v>3592.24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525.12</v>
      </c>
      <c r="N5" s="74">
        <f t="shared" si="0"/>
        <v>69.82</v>
      </c>
      <c r="O5" s="74">
        <f t="shared" si="0"/>
        <v>32.82</v>
      </c>
      <c r="P5" s="74">
        <f t="shared" si="0"/>
        <v>180</v>
      </c>
      <c r="Q5" s="74">
        <f t="shared" si="0"/>
        <v>807.76</v>
      </c>
      <c r="R5" s="74">
        <f t="shared" si="0"/>
        <v>0</v>
      </c>
      <c r="S5" s="74">
        <f t="shared" si="0"/>
        <v>4400</v>
      </c>
      <c r="T5" s="74">
        <f t="shared" si="0"/>
        <v>5000</v>
      </c>
      <c r="U5" s="74">
        <f t="shared" si="0"/>
        <v>807.76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-1407.76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3592.24</v>
      </c>
      <c r="AI5" s="105">
        <f t="shared" si="0"/>
        <v>0</v>
      </c>
      <c r="AJ5" s="74">
        <f t="shared" si="0"/>
        <v>3592.24</v>
      </c>
      <c r="AK5" s="74">
        <f t="shared" si="0"/>
        <v>0</v>
      </c>
      <c r="AL5" s="74">
        <f t="shared" si="0"/>
        <v>3592.24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3592.24</v>
      </c>
      <c r="C10" s="48">
        <f>AG5</f>
        <v>0</v>
      </c>
      <c r="D10" s="48">
        <f>AK5</f>
        <v>0</v>
      </c>
      <c r="E10" s="48">
        <f>B10+C10+D10</f>
        <v>3592.24</v>
      </c>
    </row>
    <row r="11" spans="2:5">
      <c r="B11" s="49"/>
      <c r="C11" s="49"/>
      <c r="D11" s="49"/>
      <c r="E11" s="49">
        <v>10</v>
      </c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6"/>
  <sheetViews>
    <sheetView topLeftCell="C1" workbookViewId="0">
      <selection activeCell="AQ3" sqref="AQ3"/>
    </sheetView>
  </sheetViews>
  <sheetFormatPr defaultColWidth="9" defaultRowHeight="13.5"/>
  <cols>
    <col min="1" max="1" width="5.875" style="118" customWidth="1"/>
    <col min="2" max="2" width="9.625" style="118" customWidth="1"/>
    <col min="3" max="3" width="8" style="118" customWidth="1"/>
    <col min="4" max="4" width="7.375" style="118" customWidth="1"/>
    <col min="5" max="5" width="8" style="118" customWidth="1"/>
    <col min="6" max="6" width="20.5" style="118" customWidth="1"/>
    <col min="7" max="8" width="9.75" style="118" customWidth="1"/>
    <col min="9" max="48" width="10.75" style="117" customWidth="1"/>
    <col min="49" max="49" width="8.75" style="117" customWidth="1"/>
    <col min="50" max="50" width="10.75" style="117" customWidth="1"/>
    <col min="51" max="51" width="26.625" style="118" customWidth="1"/>
    <col min="52" max="52" width="9.375" style="118" customWidth="1"/>
    <col min="53" max="53" width="9" style="117"/>
    <col min="54" max="54" width="16.125" style="117" customWidth="1"/>
    <col min="55" max="16384" width="9" style="117"/>
  </cols>
  <sheetData>
    <row r="1" s="114" customFormat="1" ht="18.95" customHeight="1" spans="1:52">
      <c r="A1" s="119" t="s">
        <v>2</v>
      </c>
      <c r="B1" s="119" t="s">
        <v>105</v>
      </c>
      <c r="C1" s="119" t="s">
        <v>106</v>
      </c>
      <c r="D1" s="119" t="s">
        <v>107</v>
      </c>
      <c r="E1" s="119" t="s">
        <v>108</v>
      </c>
      <c r="F1" s="119" t="s">
        <v>109</v>
      </c>
      <c r="G1" s="119" t="s">
        <v>110</v>
      </c>
      <c r="H1" s="119" t="s">
        <v>111</v>
      </c>
      <c r="I1" s="132" t="s">
        <v>112</v>
      </c>
      <c r="J1" s="132"/>
      <c r="K1" s="132"/>
      <c r="L1" s="132"/>
      <c r="M1" s="132"/>
      <c r="N1" s="132" t="s">
        <v>113</v>
      </c>
      <c r="O1" s="132"/>
      <c r="P1" s="132"/>
      <c r="Q1" s="132"/>
      <c r="R1" s="132"/>
      <c r="S1" s="132" t="s">
        <v>114</v>
      </c>
      <c r="T1" s="132"/>
      <c r="U1" s="132"/>
      <c r="V1" s="132"/>
      <c r="W1" s="132"/>
      <c r="X1" s="132" t="s">
        <v>115</v>
      </c>
      <c r="Y1" s="132"/>
      <c r="Z1" s="132"/>
      <c r="AA1" s="132" t="s">
        <v>116</v>
      </c>
      <c r="AB1" s="132"/>
      <c r="AC1" s="132"/>
      <c r="AD1" s="132" t="s">
        <v>117</v>
      </c>
      <c r="AE1" s="141"/>
      <c r="AF1" s="132"/>
      <c r="AG1" s="141"/>
      <c r="AH1" s="132"/>
      <c r="AI1" s="132" t="s">
        <v>118</v>
      </c>
      <c r="AJ1" s="132"/>
      <c r="AK1" s="132"/>
      <c r="AL1" s="132"/>
      <c r="AM1" s="132"/>
      <c r="AN1" s="132" t="s">
        <v>119</v>
      </c>
      <c r="AO1" s="132"/>
      <c r="AP1" s="132" t="s">
        <v>120</v>
      </c>
      <c r="AQ1" s="132"/>
      <c r="AR1" s="132"/>
      <c r="AS1" s="132"/>
      <c r="AT1" s="132"/>
      <c r="AU1" s="132" t="s">
        <v>121</v>
      </c>
      <c r="AV1" s="132" t="s">
        <v>122</v>
      </c>
      <c r="AW1" s="132" t="s">
        <v>30</v>
      </c>
      <c r="AX1" s="132" t="s">
        <v>56</v>
      </c>
      <c r="AY1" s="119" t="s">
        <v>90</v>
      </c>
      <c r="AZ1" s="144"/>
    </row>
    <row r="2" s="114" customFormat="1" ht="18.95" customHeight="1" spans="1:52">
      <c r="A2" s="120"/>
      <c r="B2" s="120"/>
      <c r="C2" s="119"/>
      <c r="D2" s="119"/>
      <c r="E2" s="119"/>
      <c r="F2" s="119"/>
      <c r="G2" s="119"/>
      <c r="H2" s="119"/>
      <c r="I2" s="132" t="s">
        <v>123</v>
      </c>
      <c r="J2" s="133" t="s">
        <v>124</v>
      </c>
      <c r="K2" s="132" t="s">
        <v>125</v>
      </c>
      <c r="L2" s="133" t="s">
        <v>126</v>
      </c>
      <c r="M2" s="132" t="s">
        <v>127</v>
      </c>
      <c r="N2" s="132" t="s">
        <v>123</v>
      </c>
      <c r="O2" s="133" t="s">
        <v>124</v>
      </c>
      <c r="P2" s="132" t="s">
        <v>125</v>
      </c>
      <c r="Q2" s="133" t="s">
        <v>126</v>
      </c>
      <c r="R2" s="132" t="s">
        <v>127</v>
      </c>
      <c r="S2" s="132" t="s">
        <v>123</v>
      </c>
      <c r="T2" s="133" t="s">
        <v>124</v>
      </c>
      <c r="U2" s="132" t="s">
        <v>125</v>
      </c>
      <c r="V2" s="133" t="s">
        <v>126</v>
      </c>
      <c r="W2" s="132" t="s">
        <v>127</v>
      </c>
      <c r="X2" s="132" t="s">
        <v>123</v>
      </c>
      <c r="Y2" s="133" t="s">
        <v>128</v>
      </c>
      <c r="Z2" s="132" t="s">
        <v>89</v>
      </c>
      <c r="AA2" s="132" t="s">
        <v>123</v>
      </c>
      <c r="AB2" s="133" t="s">
        <v>128</v>
      </c>
      <c r="AC2" s="132" t="s">
        <v>89</v>
      </c>
      <c r="AD2" s="132" t="s">
        <v>123</v>
      </c>
      <c r="AE2" s="133" t="s">
        <v>124</v>
      </c>
      <c r="AF2" s="132" t="s">
        <v>125</v>
      </c>
      <c r="AG2" s="133" t="s">
        <v>126</v>
      </c>
      <c r="AH2" s="132" t="s">
        <v>127</v>
      </c>
      <c r="AI2" s="132" t="s">
        <v>123</v>
      </c>
      <c r="AJ2" s="132" t="s">
        <v>124</v>
      </c>
      <c r="AK2" s="132" t="s">
        <v>125</v>
      </c>
      <c r="AL2" s="132" t="s">
        <v>126</v>
      </c>
      <c r="AM2" s="132" t="s">
        <v>127</v>
      </c>
      <c r="AN2" s="132" t="s">
        <v>129</v>
      </c>
      <c r="AO2" s="132" t="s">
        <v>130</v>
      </c>
      <c r="AP2" s="132" t="s">
        <v>131</v>
      </c>
      <c r="AQ2" s="132" t="s">
        <v>132</v>
      </c>
      <c r="AR2" s="132" t="s">
        <v>133</v>
      </c>
      <c r="AS2" s="132" t="s">
        <v>43</v>
      </c>
      <c r="AT2" s="132" t="s">
        <v>97</v>
      </c>
      <c r="AU2" s="132"/>
      <c r="AV2" s="132"/>
      <c r="AW2" s="132"/>
      <c r="AX2" s="132"/>
      <c r="AY2" s="119"/>
      <c r="AZ2" s="144"/>
    </row>
    <row r="3" s="114" customFormat="1" ht="18.95" customHeight="1" spans="1:55">
      <c r="A3" s="121">
        <v>1</v>
      </c>
      <c r="B3" s="121" t="s">
        <v>134</v>
      </c>
      <c r="C3" s="121" t="s">
        <v>135</v>
      </c>
      <c r="D3" s="122"/>
      <c r="E3" s="123" t="s">
        <v>103</v>
      </c>
      <c r="F3" s="124" t="s">
        <v>104</v>
      </c>
      <c r="G3" s="121">
        <v>202101</v>
      </c>
      <c r="H3" s="125">
        <v>202105</v>
      </c>
      <c r="I3" s="134">
        <v>3491</v>
      </c>
      <c r="J3" s="135">
        <v>0.16</v>
      </c>
      <c r="K3" s="134">
        <f t="shared" ref="K3:K9" si="0">ROUND(I3*J3,2)</f>
        <v>558.56</v>
      </c>
      <c r="L3" s="135">
        <v>0.08</v>
      </c>
      <c r="M3" s="134">
        <f t="shared" ref="M3:M9" si="1">ROUND(I3*L3,2)</f>
        <v>279.28</v>
      </c>
      <c r="N3" s="134">
        <v>3491</v>
      </c>
      <c r="O3" s="135">
        <v>0.085</v>
      </c>
      <c r="P3" s="136">
        <f>ROUND(N3*O3,2)</f>
        <v>296.74</v>
      </c>
      <c r="Q3" s="135">
        <v>0.02</v>
      </c>
      <c r="R3" s="134">
        <f>ROUND(N3*Q3,2)</f>
        <v>69.82</v>
      </c>
      <c r="S3" s="134">
        <v>3491</v>
      </c>
      <c r="T3" s="135">
        <v>0.005</v>
      </c>
      <c r="U3" s="134">
        <f t="shared" ref="U3:U9" si="2">ROUND(S3*T3,2)</f>
        <v>17.46</v>
      </c>
      <c r="V3" s="135">
        <v>0.005</v>
      </c>
      <c r="W3" s="134">
        <f t="shared" ref="W3:W9" si="3">ROUND(S3*V3,2)</f>
        <v>17.46</v>
      </c>
      <c r="X3" s="134"/>
      <c r="Y3" s="135"/>
      <c r="Z3" s="134"/>
      <c r="AA3" s="134">
        <v>3491</v>
      </c>
      <c r="AB3" s="142">
        <v>0.006</v>
      </c>
      <c r="AC3" s="134">
        <f t="shared" ref="AC3:AC9" si="4">ROUND(AA3*AB3,2)</f>
        <v>20.95</v>
      </c>
      <c r="AD3" s="134" t="s">
        <v>136</v>
      </c>
      <c r="AE3" s="135">
        <v>0.05</v>
      </c>
      <c r="AF3" s="134">
        <f t="shared" ref="AF3:AF8" si="5">ROUND(AD3*AE3,2)</f>
        <v>90</v>
      </c>
      <c r="AG3" s="135">
        <v>0.05</v>
      </c>
      <c r="AH3" s="134">
        <f t="shared" ref="AH3:AH8" si="6">ROUND(AD3*AG3,2)</f>
        <v>90</v>
      </c>
      <c r="AI3" s="134"/>
      <c r="AJ3" s="134"/>
      <c r="AK3" s="134"/>
      <c r="AL3" s="134"/>
      <c r="AM3" s="134"/>
      <c r="AN3" s="134">
        <f t="shared" ref="AN3:AN8" si="7">3491*0.015</f>
        <v>52.365</v>
      </c>
      <c r="AO3" s="134">
        <v>5</v>
      </c>
      <c r="AP3" s="136">
        <f t="shared" ref="AP3:AP9" si="8">ROUND(SUM(K3,P3,U3,Z3,AC3,AK3,AN3),2)</f>
        <v>946.08</v>
      </c>
      <c r="AQ3" s="136">
        <f t="shared" ref="AQ3:AQ9" si="9">ROUND(SUM(M3,R3,W3,AM3,AO3),2)</f>
        <v>371.56</v>
      </c>
      <c r="AR3" s="136">
        <f t="shared" ref="AR3:AR9" si="10">AF3</f>
        <v>90</v>
      </c>
      <c r="AS3" s="136">
        <f t="shared" ref="AS3:AS9" si="11">AH3</f>
        <v>90</v>
      </c>
      <c r="AT3" s="136">
        <f t="shared" ref="AT3:AT9" si="12">ROUND(AP3+AQ3+AR3+AS3,2)</f>
        <v>1497.64</v>
      </c>
      <c r="AU3" s="136">
        <f t="shared" ref="AU3:AU9" si="13">ROUND(AP3+AQ3,2)</f>
        <v>1317.64</v>
      </c>
      <c r="AV3" s="136">
        <f t="shared" ref="AV3:AV9" si="14">ROUND(AS3+AR3,2)</f>
        <v>180</v>
      </c>
      <c r="AW3" s="136">
        <v>80</v>
      </c>
      <c r="AX3" s="136">
        <f t="shared" ref="AX3:AX9" si="15">ROUND(SUM(AU3:AW3),2)</f>
        <v>1577.64</v>
      </c>
      <c r="AY3" s="122"/>
      <c r="AZ3" s="144"/>
      <c r="BA3" s="145"/>
      <c r="BB3" s="114" t="s">
        <v>137</v>
      </c>
      <c r="BC3" s="145"/>
    </row>
    <row r="4" s="114" customFormat="1" ht="18.95" customHeight="1" spans="1:55">
      <c r="A4" s="121"/>
      <c r="B4" s="121" t="s">
        <v>134</v>
      </c>
      <c r="C4" s="121" t="s">
        <v>135</v>
      </c>
      <c r="D4" s="122"/>
      <c r="E4" s="123" t="s">
        <v>103</v>
      </c>
      <c r="F4" s="124" t="s">
        <v>104</v>
      </c>
      <c r="G4" s="121">
        <v>202101</v>
      </c>
      <c r="H4" s="125">
        <v>202106</v>
      </c>
      <c r="I4" s="134">
        <v>3491</v>
      </c>
      <c r="J4" s="135">
        <v>0.16</v>
      </c>
      <c r="K4" s="134">
        <f t="shared" si="0"/>
        <v>558.56</v>
      </c>
      <c r="L4" s="135">
        <v>0.08</v>
      </c>
      <c r="M4" s="134">
        <f t="shared" si="1"/>
        <v>279.28</v>
      </c>
      <c r="N4" s="134">
        <v>3491</v>
      </c>
      <c r="O4" s="135">
        <v>0.085</v>
      </c>
      <c r="P4" s="136">
        <f>ROUND(N4*O4,2)</f>
        <v>296.74</v>
      </c>
      <c r="Q4" s="135">
        <v>0.02</v>
      </c>
      <c r="R4" s="134">
        <f>ROUND(N4*Q4,2)</f>
        <v>69.82</v>
      </c>
      <c r="S4" s="134">
        <v>3491</v>
      </c>
      <c r="T4" s="135">
        <v>0.005</v>
      </c>
      <c r="U4" s="134">
        <f t="shared" si="2"/>
        <v>17.46</v>
      </c>
      <c r="V4" s="135">
        <v>0.005</v>
      </c>
      <c r="W4" s="134">
        <f t="shared" si="3"/>
        <v>17.46</v>
      </c>
      <c r="X4" s="134"/>
      <c r="Y4" s="135"/>
      <c r="Z4" s="134"/>
      <c r="AA4" s="134">
        <v>3491</v>
      </c>
      <c r="AB4" s="142">
        <v>0.006</v>
      </c>
      <c r="AC4" s="134">
        <f t="shared" si="4"/>
        <v>20.95</v>
      </c>
      <c r="AD4" s="134" t="s">
        <v>136</v>
      </c>
      <c r="AE4" s="135">
        <v>0.05</v>
      </c>
      <c r="AF4" s="134">
        <f t="shared" si="5"/>
        <v>90</v>
      </c>
      <c r="AG4" s="135">
        <v>0.05</v>
      </c>
      <c r="AH4" s="134">
        <f t="shared" si="6"/>
        <v>90</v>
      </c>
      <c r="AI4" s="134"/>
      <c r="AJ4" s="134"/>
      <c r="AK4" s="134"/>
      <c r="AL4" s="134"/>
      <c r="AM4" s="134"/>
      <c r="AN4" s="134">
        <f t="shared" si="7"/>
        <v>52.365</v>
      </c>
      <c r="AO4" s="134">
        <v>5</v>
      </c>
      <c r="AP4" s="136">
        <f t="shared" si="8"/>
        <v>946.08</v>
      </c>
      <c r="AQ4" s="136">
        <f t="shared" si="9"/>
        <v>371.56</v>
      </c>
      <c r="AR4" s="136">
        <f t="shared" si="10"/>
        <v>90</v>
      </c>
      <c r="AS4" s="136">
        <f t="shared" si="11"/>
        <v>90</v>
      </c>
      <c r="AT4" s="136">
        <f t="shared" si="12"/>
        <v>1497.64</v>
      </c>
      <c r="AU4" s="136">
        <f t="shared" si="13"/>
        <v>1317.64</v>
      </c>
      <c r="AV4" s="136">
        <f t="shared" si="14"/>
        <v>180</v>
      </c>
      <c r="AW4" s="136">
        <v>80</v>
      </c>
      <c r="AX4" s="136">
        <f t="shared" si="15"/>
        <v>1577.64</v>
      </c>
      <c r="AY4" s="122"/>
      <c r="AZ4" s="144"/>
      <c r="BA4" s="145"/>
      <c r="BB4" s="114" t="s">
        <v>137</v>
      </c>
      <c r="BC4" s="145"/>
    </row>
    <row r="5" s="114" customFormat="1" ht="18.95" customHeight="1" spans="1:55">
      <c r="A5" s="121"/>
      <c r="B5" s="121" t="s">
        <v>134</v>
      </c>
      <c r="C5" s="121" t="s">
        <v>135</v>
      </c>
      <c r="D5" s="122"/>
      <c r="E5" s="123" t="s">
        <v>103</v>
      </c>
      <c r="F5" s="124" t="s">
        <v>104</v>
      </c>
      <c r="G5" s="121">
        <v>202101</v>
      </c>
      <c r="H5" s="125">
        <v>202107</v>
      </c>
      <c r="I5" s="134">
        <v>3491</v>
      </c>
      <c r="J5" s="135">
        <v>0.16</v>
      </c>
      <c r="K5" s="134">
        <f t="shared" si="0"/>
        <v>558.56</v>
      </c>
      <c r="L5" s="135">
        <v>0.08</v>
      </c>
      <c r="M5" s="134">
        <f t="shared" si="1"/>
        <v>279.28</v>
      </c>
      <c r="N5" s="134">
        <v>3491</v>
      </c>
      <c r="O5" s="135">
        <v>0.085</v>
      </c>
      <c r="P5" s="136">
        <f>ROUND(N5*O5,2)</f>
        <v>296.74</v>
      </c>
      <c r="Q5" s="135">
        <v>0.02</v>
      </c>
      <c r="R5" s="134">
        <f>ROUND(N5*Q5,2)</f>
        <v>69.82</v>
      </c>
      <c r="S5" s="134">
        <v>3491</v>
      </c>
      <c r="T5" s="135">
        <v>0.005</v>
      </c>
      <c r="U5" s="134">
        <f t="shared" si="2"/>
        <v>17.46</v>
      </c>
      <c r="V5" s="135">
        <v>0.005</v>
      </c>
      <c r="W5" s="134">
        <f t="shared" si="3"/>
        <v>17.46</v>
      </c>
      <c r="X5" s="134"/>
      <c r="Y5" s="135"/>
      <c r="Z5" s="134"/>
      <c r="AA5" s="134">
        <v>3491</v>
      </c>
      <c r="AB5" s="142">
        <v>0.006</v>
      </c>
      <c r="AC5" s="134">
        <f t="shared" si="4"/>
        <v>20.95</v>
      </c>
      <c r="AD5" s="134" t="s">
        <v>136</v>
      </c>
      <c r="AE5" s="135">
        <v>0.05</v>
      </c>
      <c r="AF5" s="134">
        <f t="shared" si="5"/>
        <v>90</v>
      </c>
      <c r="AG5" s="135">
        <v>0.05</v>
      </c>
      <c r="AH5" s="134">
        <f t="shared" si="6"/>
        <v>90</v>
      </c>
      <c r="AI5" s="134"/>
      <c r="AJ5" s="134"/>
      <c r="AK5" s="134"/>
      <c r="AL5" s="134"/>
      <c r="AM5" s="134"/>
      <c r="AN5" s="134">
        <f t="shared" si="7"/>
        <v>52.365</v>
      </c>
      <c r="AO5" s="134">
        <v>5</v>
      </c>
      <c r="AP5" s="136">
        <f t="shared" si="8"/>
        <v>946.08</v>
      </c>
      <c r="AQ5" s="136">
        <f t="shared" si="9"/>
        <v>371.56</v>
      </c>
      <c r="AR5" s="136">
        <f t="shared" si="10"/>
        <v>90</v>
      </c>
      <c r="AS5" s="136">
        <f t="shared" si="11"/>
        <v>90</v>
      </c>
      <c r="AT5" s="136">
        <f t="shared" si="12"/>
        <v>1497.64</v>
      </c>
      <c r="AU5" s="136">
        <f t="shared" si="13"/>
        <v>1317.64</v>
      </c>
      <c r="AV5" s="136">
        <f t="shared" si="14"/>
        <v>180</v>
      </c>
      <c r="AW5" s="136">
        <v>80</v>
      </c>
      <c r="AX5" s="136">
        <f t="shared" si="15"/>
        <v>1577.64</v>
      </c>
      <c r="AY5" s="122"/>
      <c r="AZ5" s="144"/>
      <c r="BA5" s="145"/>
      <c r="BB5" s="114" t="s">
        <v>137</v>
      </c>
      <c r="BC5" s="145"/>
    </row>
    <row r="6" s="115" customFormat="1" ht="18.95" customHeight="1" spans="1:55">
      <c r="A6" s="126"/>
      <c r="B6" s="126" t="s">
        <v>134</v>
      </c>
      <c r="C6" s="126" t="s">
        <v>135</v>
      </c>
      <c r="D6" s="126"/>
      <c r="E6" s="127" t="s">
        <v>103</v>
      </c>
      <c r="F6" s="128" t="s">
        <v>104</v>
      </c>
      <c r="G6" s="126">
        <v>202101</v>
      </c>
      <c r="H6" s="129">
        <v>202101</v>
      </c>
      <c r="I6" s="137">
        <f>3491-3282</f>
        <v>209</v>
      </c>
      <c r="J6" s="138">
        <v>0.16</v>
      </c>
      <c r="K6" s="137">
        <f t="shared" si="0"/>
        <v>33.44</v>
      </c>
      <c r="L6" s="138">
        <v>0.08</v>
      </c>
      <c r="M6" s="137">
        <f t="shared" si="1"/>
        <v>16.72</v>
      </c>
      <c r="N6" s="137"/>
      <c r="O6" s="138"/>
      <c r="P6" s="137"/>
      <c r="Q6" s="138"/>
      <c r="R6" s="137"/>
      <c r="S6" s="137">
        <f>3491-3282</f>
        <v>209</v>
      </c>
      <c r="T6" s="138">
        <v>0.005</v>
      </c>
      <c r="U6" s="137">
        <f t="shared" si="2"/>
        <v>1.05</v>
      </c>
      <c r="V6" s="138">
        <v>0.005</v>
      </c>
      <c r="W6" s="137">
        <f t="shared" si="3"/>
        <v>1.05</v>
      </c>
      <c r="X6" s="137"/>
      <c r="Y6" s="138"/>
      <c r="Z6" s="137"/>
      <c r="AA6" s="137">
        <f t="shared" ref="AA6:AA9" si="16">3491-3282</f>
        <v>209</v>
      </c>
      <c r="AB6" s="143">
        <v>0.006</v>
      </c>
      <c r="AC6" s="137">
        <f t="shared" si="4"/>
        <v>1.25</v>
      </c>
      <c r="AD6" s="137"/>
      <c r="AE6" s="138"/>
      <c r="AF6" s="137"/>
      <c r="AG6" s="138"/>
      <c r="AH6" s="137"/>
      <c r="AI6" s="137"/>
      <c r="AJ6" s="137"/>
      <c r="AK6" s="137"/>
      <c r="AL6" s="137"/>
      <c r="AM6" s="137"/>
      <c r="AN6" s="137"/>
      <c r="AO6" s="137"/>
      <c r="AP6" s="137">
        <f t="shared" si="8"/>
        <v>35.74</v>
      </c>
      <c r="AQ6" s="137">
        <f t="shared" si="9"/>
        <v>17.77</v>
      </c>
      <c r="AR6" s="137">
        <f t="shared" si="10"/>
        <v>0</v>
      </c>
      <c r="AS6" s="137">
        <f t="shared" si="11"/>
        <v>0</v>
      </c>
      <c r="AT6" s="137">
        <f t="shared" si="12"/>
        <v>53.51</v>
      </c>
      <c r="AU6" s="137">
        <f t="shared" si="13"/>
        <v>53.51</v>
      </c>
      <c r="AV6" s="137">
        <f t="shared" si="14"/>
        <v>0</v>
      </c>
      <c r="AW6" s="137"/>
      <c r="AX6" s="137">
        <f t="shared" si="15"/>
        <v>53.51</v>
      </c>
      <c r="AY6" s="126"/>
      <c r="AZ6" s="146"/>
      <c r="BA6" s="147"/>
      <c r="BB6" s="115" t="s">
        <v>137</v>
      </c>
      <c r="BC6" s="147"/>
    </row>
    <row r="7" s="115" customFormat="1" ht="18.95" customHeight="1" spans="1:55">
      <c r="A7" s="126"/>
      <c r="B7" s="126" t="s">
        <v>134</v>
      </c>
      <c r="C7" s="126" t="s">
        <v>135</v>
      </c>
      <c r="D7" s="126"/>
      <c r="E7" s="127" t="s">
        <v>103</v>
      </c>
      <c r="F7" s="128" t="s">
        <v>104</v>
      </c>
      <c r="G7" s="126">
        <v>202101</v>
      </c>
      <c r="H7" s="129">
        <v>202102</v>
      </c>
      <c r="I7" s="137">
        <f>3491-3282</f>
        <v>209</v>
      </c>
      <c r="J7" s="138">
        <v>0.16</v>
      </c>
      <c r="K7" s="137">
        <f t="shared" si="0"/>
        <v>33.44</v>
      </c>
      <c r="L7" s="138">
        <v>0.08</v>
      </c>
      <c r="M7" s="137">
        <f t="shared" si="1"/>
        <v>16.72</v>
      </c>
      <c r="N7" s="137"/>
      <c r="O7" s="138"/>
      <c r="P7" s="137"/>
      <c r="Q7" s="138"/>
      <c r="R7" s="137"/>
      <c r="S7" s="137">
        <f t="shared" ref="S7:S9" si="17">3491-3282</f>
        <v>209</v>
      </c>
      <c r="T7" s="138">
        <v>0.005</v>
      </c>
      <c r="U7" s="137">
        <f t="shared" si="2"/>
        <v>1.05</v>
      </c>
      <c r="V7" s="138">
        <v>0.005</v>
      </c>
      <c r="W7" s="137">
        <f t="shared" si="3"/>
        <v>1.05</v>
      </c>
      <c r="X7" s="137"/>
      <c r="Y7" s="138"/>
      <c r="Z7" s="137"/>
      <c r="AA7" s="137">
        <f t="shared" si="16"/>
        <v>209</v>
      </c>
      <c r="AB7" s="143">
        <v>0.006</v>
      </c>
      <c r="AC7" s="137">
        <f t="shared" si="4"/>
        <v>1.25</v>
      </c>
      <c r="AD7" s="137"/>
      <c r="AE7" s="138"/>
      <c r="AF7" s="137"/>
      <c r="AG7" s="138"/>
      <c r="AH7" s="137"/>
      <c r="AI7" s="137"/>
      <c r="AJ7" s="137"/>
      <c r="AK7" s="137"/>
      <c r="AL7" s="137"/>
      <c r="AM7" s="137"/>
      <c r="AN7" s="137"/>
      <c r="AO7" s="137"/>
      <c r="AP7" s="137">
        <f t="shared" si="8"/>
        <v>35.74</v>
      </c>
      <c r="AQ7" s="137">
        <f t="shared" si="9"/>
        <v>17.77</v>
      </c>
      <c r="AR7" s="137">
        <f t="shared" si="10"/>
        <v>0</v>
      </c>
      <c r="AS7" s="137">
        <f t="shared" si="11"/>
        <v>0</v>
      </c>
      <c r="AT7" s="137">
        <f t="shared" si="12"/>
        <v>53.51</v>
      </c>
      <c r="AU7" s="137">
        <f t="shared" si="13"/>
        <v>53.51</v>
      </c>
      <c r="AV7" s="137">
        <f t="shared" si="14"/>
        <v>0</v>
      </c>
      <c r="AW7" s="137"/>
      <c r="AX7" s="137">
        <f t="shared" si="15"/>
        <v>53.51</v>
      </c>
      <c r="AY7" s="126"/>
      <c r="AZ7" s="146"/>
      <c r="BA7" s="147"/>
      <c r="BB7" s="115" t="s">
        <v>137</v>
      </c>
      <c r="BC7" s="147"/>
    </row>
    <row r="8" s="115" customFormat="1" ht="18.95" customHeight="1" spans="1:55">
      <c r="A8" s="126"/>
      <c r="B8" s="126" t="s">
        <v>134</v>
      </c>
      <c r="C8" s="126" t="s">
        <v>135</v>
      </c>
      <c r="D8" s="126"/>
      <c r="E8" s="127" t="s">
        <v>103</v>
      </c>
      <c r="F8" s="128" t="s">
        <v>104</v>
      </c>
      <c r="G8" s="126">
        <v>202101</v>
      </c>
      <c r="H8" s="129">
        <v>202103</v>
      </c>
      <c r="I8" s="137">
        <f>3491-3282</f>
        <v>209</v>
      </c>
      <c r="J8" s="138">
        <v>0.16</v>
      </c>
      <c r="K8" s="137">
        <f t="shared" si="0"/>
        <v>33.44</v>
      </c>
      <c r="L8" s="138">
        <v>0.08</v>
      </c>
      <c r="M8" s="137">
        <f t="shared" si="1"/>
        <v>16.72</v>
      </c>
      <c r="N8" s="137"/>
      <c r="O8" s="138"/>
      <c r="P8" s="137"/>
      <c r="Q8" s="138"/>
      <c r="R8" s="137"/>
      <c r="S8" s="137">
        <f t="shared" si="17"/>
        <v>209</v>
      </c>
      <c r="T8" s="138">
        <v>0.005</v>
      </c>
      <c r="U8" s="137">
        <f t="shared" si="2"/>
        <v>1.05</v>
      </c>
      <c r="V8" s="138">
        <v>0.005</v>
      </c>
      <c r="W8" s="137">
        <f t="shared" si="3"/>
        <v>1.05</v>
      </c>
      <c r="X8" s="137"/>
      <c r="Y8" s="138"/>
      <c r="Z8" s="137"/>
      <c r="AA8" s="137">
        <f t="shared" si="16"/>
        <v>209</v>
      </c>
      <c r="AB8" s="143">
        <v>0.006</v>
      </c>
      <c r="AC8" s="137">
        <f t="shared" si="4"/>
        <v>1.25</v>
      </c>
      <c r="AD8" s="137"/>
      <c r="AE8" s="138"/>
      <c r="AF8" s="137"/>
      <c r="AG8" s="138"/>
      <c r="AH8" s="137"/>
      <c r="AI8" s="137"/>
      <c r="AJ8" s="137"/>
      <c r="AK8" s="137"/>
      <c r="AL8" s="137"/>
      <c r="AM8" s="137"/>
      <c r="AN8" s="137"/>
      <c r="AO8" s="137"/>
      <c r="AP8" s="137">
        <f t="shared" si="8"/>
        <v>35.74</v>
      </c>
      <c r="AQ8" s="137">
        <f t="shared" si="9"/>
        <v>17.77</v>
      </c>
      <c r="AR8" s="137">
        <f t="shared" si="10"/>
        <v>0</v>
      </c>
      <c r="AS8" s="137">
        <f t="shared" si="11"/>
        <v>0</v>
      </c>
      <c r="AT8" s="137">
        <f t="shared" si="12"/>
        <v>53.51</v>
      </c>
      <c r="AU8" s="137">
        <f t="shared" si="13"/>
        <v>53.51</v>
      </c>
      <c r="AV8" s="137">
        <f t="shared" si="14"/>
        <v>0</v>
      </c>
      <c r="AW8" s="137"/>
      <c r="AX8" s="137">
        <f t="shared" si="15"/>
        <v>53.51</v>
      </c>
      <c r="AY8" s="126"/>
      <c r="AZ8" s="146"/>
      <c r="BA8" s="147"/>
      <c r="BB8" s="115" t="s">
        <v>137</v>
      </c>
      <c r="BC8" s="147"/>
    </row>
    <row r="9" s="115" customFormat="1" ht="18.95" customHeight="1" spans="1:55">
      <c r="A9" s="126"/>
      <c r="B9" s="126" t="s">
        <v>134</v>
      </c>
      <c r="C9" s="126" t="s">
        <v>135</v>
      </c>
      <c r="D9" s="126"/>
      <c r="E9" s="127" t="s">
        <v>103</v>
      </c>
      <c r="F9" s="128" t="s">
        <v>104</v>
      </c>
      <c r="G9" s="126">
        <v>202101</v>
      </c>
      <c r="H9" s="129">
        <v>202104</v>
      </c>
      <c r="I9" s="137">
        <f>3491-3282</f>
        <v>209</v>
      </c>
      <c r="J9" s="138">
        <v>0.16</v>
      </c>
      <c r="K9" s="137">
        <f t="shared" si="0"/>
        <v>33.44</v>
      </c>
      <c r="L9" s="138">
        <v>0.08</v>
      </c>
      <c r="M9" s="137">
        <f t="shared" si="1"/>
        <v>16.72</v>
      </c>
      <c r="N9" s="137"/>
      <c r="O9" s="138"/>
      <c r="P9" s="137"/>
      <c r="Q9" s="138"/>
      <c r="R9" s="137"/>
      <c r="S9" s="137">
        <f t="shared" si="17"/>
        <v>209</v>
      </c>
      <c r="T9" s="138">
        <v>0.005</v>
      </c>
      <c r="U9" s="137">
        <f t="shared" si="2"/>
        <v>1.05</v>
      </c>
      <c r="V9" s="138">
        <v>0.005</v>
      </c>
      <c r="W9" s="137">
        <f t="shared" si="3"/>
        <v>1.05</v>
      </c>
      <c r="X9" s="137"/>
      <c r="Y9" s="138"/>
      <c r="Z9" s="137"/>
      <c r="AA9" s="137">
        <f t="shared" si="16"/>
        <v>209</v>
      </c>
      <c r="AB9" s="143">
        <v>0.006</v>
      </c>
      <c r="AC9" s="137">
        <f t="shared" si="4"/>
        <v>1.25</v>
      </c>
      <c r="AD9" s="137"/>
      <c r="AE9" s="138"/>
      <c r="AF9" s="137"/>
      <c r="AG9" s="138"/>
      <c r="AH9" s="137"/>
      <c r="AI9" s="137"/>
      <c r="AJ9" s="137"/>
      <c r="AK9" s="137"/>
      <c r="AL9" s="137"/>
      <c r="AM9" s="137"/>
      <c r="AN9" s="137"/>
      <c r="AO9" s="137"/>
      <c r="AP9" s="137">
        <f t="shared" si="8"/>
        <v>35.74</v>
      </c>
      <c r="AQ9" s="137">
        <f t="shared" si="9"/>
        <v>17.77</v>
      </c>
      <c r="AR9" s="137">
        <f t="shared" si="10"/>
        <v>0</v>
      </c>
      <c r="AS9" s="137">
        <f t="shared" si="11"/>
        <v>0</v>
      </c>
      <c r="AT9" s="137">
        <f t="shared" si="12"/>
        <v>53.51</v>
      </c>
      <c r="AU9" s="137">
        <f t="shared" si="13"/>
        <v>53.51</v>
      </c>
      <c r="AV9" s="137">
        <f t="shared" si="14"/>
        <v>0</v>
      </c>
      <c r="AW9" s="137"/>
      <c r="AX9" s="137">
        <f t="shared" si="15"/>
        <v>53.51</v>
      </c>
      <c r="AY9" s="126"/>
      <c r="AZ9" s="146"/>
      <c r="BA9" s="147"/>
      <c r="BB9" s="115" t="s">
        <v>137</v>
      </c>
      <c r="BC9" s="147"/>
    </row>
    <row r="10" s="116" customFormat="1" ht="18.95" customHeight="1" spans="1:52">
      <c r="A10" s="130" t="s">
        <v>54</v>
      </c>
      <c r="B10" s="131"/>
      <c r="C10" s="131"/>
      <c r="D10" s="131"/>
      <c r="E10" s="131"/>
      <c r="F10" s="131"/>
      <c r="G10" s="131"/>
      <c r="H10" s="131"/>
      <c r="I10" s="139">
        <f t="shared" ref="I10:AX10" si="18">SUM(I3:I9)</f>
        <v>11309</v>
      </c>
      <c r="J10" s="139">
        <f t="shared" si="18"/>
        <v>1.12</v>
      </c>
      <c r="K10" s="139">
        <f t="shared" si="18"/>
        <v>1809.44</v>
      </c>
      <c r="L10" s="139">
        <f t="shared" si="18"/>
        <v>0.56</v>
      </c>
      <c r="M10" s="139">
        <f t="shared" si="18"/>
        <v>904.72</v>
      </c>
      <c r="N10" s="139">
        <f t="shared" si="18"/>
        <v>10473</v>
      </c>
      <c r="O10" s="139">
        <f t="shared" si="18"/>
        <v>0.255</v>
      </c>
      <c r="P10" s="139">
        <f t="shared" si="18"/>
        <v>890.22</v>
      </c>
      <c r="Q10" s="139">
        <f t="shared" si="18"/>
        <v>0.06</v>
      </c>
      <c r="R10" s="139">
        <f t="shared" si="18"/>
        <v>209.46</v>
      </c>
      <c r="S10" s="139">
        <f t="shared" si="18"/>
        <v>11309</v>
      </c>
      <c r="T10" s="139">
        <f t="shared" si="18"/>
        <v>0.035</v>
      </c>
      <c r="U10" s="139">
        <f t="shared" si="18"/>
        <v>56.58</v>
      </c>
      <c r="V10" s="139">
        <f t="shared" si="18"/>
        <v>0.035</v>
      </c>
      <c r="W10" s="139">
        <f t="shared" si="18"/>
        <v>56.58</v>
      </c>
      <c r="X10" s="139">
        <f t="shared" si="18"/>
        <v>0</v>
      </c>
      <c r="Y10" s="139">
        <f t="shared" si="18"/>
        <v>0</v>
      </c>
      <c r="Z10" s="139">
        <f t="shared" si="18"/>
        <v>0</v>
      </c>
      <c r="AA10" s="139">
        <f t="shared" si="18"/>
        <v>11309</v>
      </c>
      <c r="AB10" s="139">
        <f t="shared" si="18"/>
        <v>0.042</v>
      </c>
      <c r="AC10" s="139">
        <f t="shared" si="18"/>
        <v>67.85</v>
      </c>
      <c r="AD10" s="139">
        <f t="shared" si="18"/>
        <v>0</v>
      </c>
      <c r="AE10" s="139">
        <f t="shared" si="18"/>
        <v>0.15</v>
      </c>
      <c r="AF10" s="139">
        <f t="shared" si="18"/>
        <v>270</v>
      </c>
      <c r="AG10" s="139">
        <f t="shared" si="18"/>
        <v>0.15</v>
      </c>
      <c r="AH10" s="139">
        <f t="shared" si="18"/>
        <v>270</v>
      </c>
      <c r="AI10" s="139">
        <f t="shared" si="18"/>
        <v>0</v>
      </c>
      <c r="AJ10" s="139">
        <f t="shared" si="18"/>
        <v>0</v>
      </c>
      <c r="AK10" s="139">
        <f t="shared" si="18"/>
        <v>0</v>
      </c>
      <c r="AL10" s="139">
        <f t="shared" si="18"/>
        <v>0</v>
      </c>
      <c r="AM10" s="139">
        <f t="shared" si="18"/>
        <v>0</v>
      </c>
      <c r="AN10" s="139">
        <f t="shared" si="18"/>
        <v>157.095</v>
      </c>
      <c r="AO10" s="139">
        <f t="shared" si="18"/>
        <v>15</v>
      </c>
      <c r="AP10" s="139">
        <f t="shared" si="18"/>
        <v>2981.2</v>
      </c>
      <c r="AQ10" s="139">
        <f t="shared" si="18"/>
        <v>1185.76</v>
      </c>
      <c r="AR10" s="139">
        <f t="shared" si="18"/>
        <v>270</v>
      </c>
      <c r="AS10" s="139">
        <f t="shared" si="18"/>
        <v>270</v>
      </c>
      <c r="AT10" s="139">
        <f t="shared" si="18"/>
        <v>4706.96</v>
      </c>
      <c r="AU10" s="139">
        <f t="shared" si="18"/>
        <v>4166.96</v>
      </c>
      <c r="AV10" s="139">
        <f t="shared" si="18"/>
        <v>540</v>
      </c>
      <c r="AW10" s="139">
        <f t="shared" si="18"/>
        <v>240</v>
      </c>
      <c r="AX10" s="139">
        <f t="shared" si="18"/>
        <v>4946.96</v>
      </c>
      <c r="AY10" s="148"/>
      <c r="AZ10" s="149"/>
    </row>
    <row r="11" s="117" customFormat="1" ht="16.5" spans="1:52">
      <c r="A11" s="118"/>
      <c r="B11" s="118"/>
      <c r="C11" s="118"/>
      <c r="D11" s="118"/>
      <c r="E11" s="118"/>
      <c r="F11" s="118"/>
      <c r="G11" s="118"/>
      <c r="H11" s="118"/>
      <c r="I11" s="140"/>
      <c r="AY11" s="118"/>
      <c r="AZ11" s="118"/>
    </row>
    <row r="12" s="117" customFormat="1" spans="1:52">
      <c r="A12" s="118"/>
      <c r="B12" s="118"/>
      <c r="C12" s="118"/>
      <c r="D12" s="118"/>
      <c r="E12" s="118"/>
      <c r="F12" s="118"/>
      <c r="G12" s="118"/>
      <c r="H12" s="118"/>
      <c r="AY12" s="118"/>
      <c r="AZ12" s="118"/>
    </row>
    <row r="13" s="117" customFormat="1" spans="1:52">
      <c r="A13" s="118"/>
      <c r="B13" s="118"/>
      <c r="C13" s="118"/>
      <c r="D13" s="118"/>
      <c r="E13" s="118"/>
      <c r="F13" s="118"/>
      <c r="G13" s="118"/>
      <c r="H13" s="118"/>
      <c r="AY13" s="118"/>
      <c r="AZ13" s="118"/>
    </row>
    <row r="14" s="117" customFormat="1" spans="1:52">
      <c r="A14" s="118"/>
      <c r="B14" s="118"/>
      <c r="C14" s="118"/>
      <c r="D14" s="118"/>
      <c r="E14" s="118"/>
      <c r="F14" s="118"/>
      <c r="G14" s="118"/>
      <c r="H14" s="118"/>
      <c r="AX14" s="150"/>
      <c r="AY14" s="118"/>
      <c r="AZ14" s="118"/>
    </row>
    <row r="15" s="117" customFormat="1" spans="1:52">
      <c r="A15" s="118"/>
      <c r="B15" s="118"/>
      <c r="C15" s="118"/>
      <c r="D15" s="118"/>
      <c r="E15" s="118"/>
      <c r="F15" s="118"/>
      <c r="G15" s="118"/>
      <c r="H15" s="118"/>
      <c r="AX15" s="150"/>
      <c r="AY15" s="118"/>
      <c r="AZ15" s="118"/>
    </row>
    <row r="16" s="117" customFormat="1" spans="1:52">
      <c r="A16" s="118"/>
      <c r="B16" s="118"/>
      <c r="C16" s="118"/>
      <c r="D16" s="118"/>
      <c r="E16" s="118"/>
      <c r="F16" s="118"/>
      <c r="G16" s="118"/>
      <c r="H16" s="118"/>
      <c r="AX16" s="150"/>
      <c r="AY16" s="118"/>
      <c r="AZ16" s="118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10:H10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</f>
        <v>262.56</v>
      </c>
      <c r="N4" s="71">
        <v>69.82</v>
      </c>
      <c r="O4" s="71">
        <f>16.41</f>
        <v>16.41</v>
      </c>
      <c r="P4" s="71">
        <f>90</f>
        <v>90</v>
      </c>
      <c r="Q4" s="89">
        <f>ROUND(SUM(M4:P4),2)</f>
        <v>438.79</v>
      </c>
      <c r="R4" s="70">
        <v>0</v>
      </c>
      <c r="S4" s="90">
        <f>L4+IFERROR(VLOOKUP($E:$E,'（居民）工资表-2月'!$E:$S,15,0),0)</f>
        <v>8800</v>
      </c>
      <c r="T4" s="91">
        <f>5000+IFERROR(VLOOKUP($E:$E,'（居民）工资表-2月'!$E:$T,16,0),0)</f>
        <v>10000</v>
      </c>
      <c r="U4" s="91">
        <f>Q4+IFERROR(VLOOKUP($E:$E,'（居民）工资表-2月'!$E:$U,17,0),0)</f>
        <v>1246.55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-2446.55</v>
      </c>
      <c r="AE4" s="94">
        <f>ROUND(MAX((AD4)*{0.03;0.1;0.2;0.25;0.3;0.35;0.45}-{0;2520;16920;31920;52920;85920;181920},0),2)</f>
        <v>0</v>
      </c>
      <c r="AF4" s="95">
        <f>IFERROR(VLOOKUP(E:E,'（居民）工资表-2月'!E:AF,28,0)+VLOOKUP(E:E,'（居民）工资表-2月'!E:AG,29,0),0)</f>
        <v>0</v>
      </c>
      <c r="AG4" s="95">
        <f>IF((AE4-AF4)&lt;0,0,AE4-AF4)</f>
        <v>0</v>
      </c>
      <c r="AH4" s="102">
        <f>ROUND(IF((L4-Q4-AG4)&lt;0,0,(L4-Q4-AG4)),2)</f>
        <v>3961.21</v>
      </c>
      <c r="AI4" s="103"/>
      <c r="AJ4" s="102">
        <f>AH4+AI4</f>
        <v>3961.21</v>
      </c>
      <c r="AK4" s="104"/>
      <c r="AL4" s="102">
        <f>AJ4+AG4+AK4</f>
        <v>3961.21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262.56</v>
      </c>
      <c r="N5" s="74">
        <f t="shared" si="0"/>
        <v>69.82</v>
      </c>
      <c r="O5" s="74">
        <f t="shared" si="0"/>
        <v>16.41</v>
      </c>
      <c r="P5" s="74">
        <f t="shared" si="0"/>
        <v>90</v>
      </c>
      <c r="Q5" s="74">
        <f t="shared" si="0"/>
        <v>438.79</v>
      </c>
      <c r="R5" s="74">
        <f t="shared" si="0"/>
        <v>0</v>
      </c>
      <c r="S5" s="74">
        <f t="shared" si="0"/>
        <v>8800</v>
      </c>
      <c r="T5" s="74">
        <f t="shared" si="0"/>
        <v>10000</v>
      </c>
      <c r="U5" s="74">
        <f t="shared" si="0"/>
        <v>1246.55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-2446.55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3961.21</v>
      </c>
      <c r="AI5" s="105">
        <f t="shared" si="0"/>
        <v>0</v>
      </c>
      <c r="AJ5" s="74">
        <f t="shared" si="0"/>
        <v>3961.21</v>
      </c>
      <c r="AK5" s="74">
        <f t="shared" si="0"/>
        <v>0</v>
      </c>
      <c r="AL5" s="74">
        <f t="shared" si="0"/>
        <v>3961.21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3961.21</v>
      </c>
      <c r="C10" s="48">
        <f>AG5</f>
        <v>0</v>
      </c>
      <c r="D10" s="48">
        <f>AK5</f>
        <v>0</v>
      </c>
      <c r="E10" s="48">
        <f>B10+C10+D10</f>
        <v>3961.21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O4" sqref="O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v>346.16</v>
      </c>
      <c r="N4" s="71">
        <v>21.655</v>
      </c>
      <c r="O4" s="71">
        <v>89.82</v>
      </c>
      <c r="P4" s="71">
        <v>90</v>
      </c>
      <c r="Q4" s="89">
        <f>ROUND(SUM(M4:P4),2)</f>
        <v>547.64</v>
      </c>
      <c r="R4" s="70">
        <v>0</v>
      </c>
      <c r="S4" s="90">
        <f>L4+IFERROR(VLOOKUP($E:$E,'（居民）工资表-3月'!$E:$S,15,0),0)</f>
        <v>13200</v>
      </c>
      <c r="T4" s="91">
        <f>5000+IFERROR(VLOOKUP($E:$E,'（居民）工资表-3月'!$E:$T,16,0),0)</f>
        <v>15000</v>
      </c>
      <c r="U4" s="91">
        <f>Q4+IFERROR(VLOOKUP($E:$E,'（居民）工资表-3月'!$E:$U,17,0),0)</f>
        <v>1794.19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-3594.19</v>
      </c>
      <c r="AE4" s="94">
        <f>ROUND(MAX((AD4)*{0.03;0.1;0.2;0.25;0.3;0.35;0.45}-{0;2520;16920;31920;52920;85920;181920},0),2)</f>
        <v>0</v>
      </c>
      <c r="AF4" s="95">
        <f>IFERROR(VLOOKUP(E:E,'（居民）工资表-3月'!E:AF,28,0)+VLOOKUP(E:E,'（居民）工资表-3月'!E:AG,29,0),0)</f>
        <v>0</v>
      </c>
      <c r="AG4" s="95">
        <f>IF((AE4-AF4)&lt;0,0,AE4-AF4)</f>
        <v>0</v>
      </c>
      <c r="AH4" s="102">
        <f>ROUND(IF((L4-Q4-AG4)&lt;0,0,(L4-Q4-AG4)),2)</f>
        <v>3852.36</v>
      </c>
      <c r="AI4" s="103"/>
      <c r="AJ4" s="102">
        <f>AH4+AI4</f>
        <v>3852.36</v>
      </c>
      <c r="AK4" s="104"/>
      <c r="AL4" s="102">
        <f>AJ4+AG4+AK4</f>
        <v>3852.36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346.16</v>
      </c>
      <c r="N5" s="74">
        <f t="shared" si="0"/>
        <v>21.655</v>
      </c>
      <c r="O5" s="74">
        <f t="shared" si="0"/>
        <v>89.82</v>
      </c>
      <c r="P5" s="74">
        <f t="shared" si="0"/>
        <v>90</v>
      </c>
      <c r="Q5" s="74">
        <f t="shared" si="0"/>
        <v>547.64</v>
      </c>
      <c r="R5" s="74">
        <f t="shared" si="0"/>
        <v>0</v>
      </c>
      <c r="S5" s="74">
        <f t="shared" si="0"/>
        <v>13200</v>
      </c>
      <c r="T5" s="74">
        <f t="shared" si="0"/>
        <v>15000</v>
      </c>
      <c r="U5" s="74">
        <f t="shared" si="0"/>
        <v>1794.19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-3594.19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3852.36</v>
      </c>
      <c r="AI5" s="105">
        <f t="shared" si="0"/>
        <v>0</v>
      </c>
      <c r="AJ5" s="74">
        <f t="shared" si="0"/>
        <v>3852.36</v>
      </c>
      <c r="AK5" s="74">
        <f t="shared" si="0"/>
        <v>0</v>
      </c>
      <c r="AL5" s="74">
        <f t="shared" si="0"/>
        <v>3852.36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29</v>
      </c>
      <c r="C9" s="47" t="s">
        <v>55</v>
      </c>
      <c r="D9" s="47" t="s">
        <v>30</v>
      </c>
      <c r="E9" s="47" t="s">
        <v>56</v>
      </c>
      <c r="AD9" s="10"/>
      <c r="AG9" s="113"/>
    </row>
    <row r="10" ht="18.75" customHeight="1" spans="2:5">
      <c r="B10" s="48">
        <f>AJ5</f>
        <v>3852.36</v>
      </c>
      <c r="C10" s="48">
        <f>AG5</f>
        <v>0</v>
      </c>
      <c r="D10" s="48">
        <f>AK5</f>
        <v>0</v>
      </c>
      <c r="E10" s="48">
        <f>B10+C10+D10</f>
        <v>3852.36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L4+IFERROR(VLOOKUP($E:$E,'（居民）工资表-4月'!$E:$S,15,0),0)</f>
        <v>3000</v>
      </c>
      <c r="T4" s="91">
        <f>5000+IFERROR(VLOOKUP($E:$E,'（居民）工资表-4月'!$E:$T,16,0),0)</f>
        <v>5000</v>
      </c>
      <c r="U4" s="91">
        <f>Q4+IFERROR(VLOOKUP($E:$E,'（居民）工资表-4月'!$E:$U,17,0),0)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L5+IFERROR(VLOOKUP($E:$E,'（居民）工资表-4月'!$E:$S,15,0),0)</f>
        <v>4000</v>
      </c>
      <c r="T5" s="91">
        <f>5000+IFERROR(VLOOKUP($E:$E,'（居民）工资表-4月'!$E:$T,16,0),0)</f>
        <v>5000</v>
      </c>
      <c r="U5" s="91">
        <f>Q5+IFERROR(VLOOKUP($E:$E,'（居民）工资表-4月'!$E:$U,17,0),0)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R5+IFERROR(VLOOKUP($E:$E,'（居民）工资表-4月'!$E:$AC,25,0),0)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IFERROR(VLOOKUP(E:E,'（居民）工资表-4月'!E:AF,28,0)+VLOOKUP(E:E,'（居民）工资表-4月'!E:AG,29,0),0)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L6+IFERROR(VLOOKUP($E:$E,'（居民）工资表-4月'!$E:$S,15,0),0)</f>
        <v>5000</v>
      </c>
      <c r="T6" s="91">
        <f>5000+IFERROR(VLOOKUP($E:$E,'（居民）工资表-4月'!$E:$T,16,0),0)</f>
        <v>5000</v>
      </c>
      <c r="U6" s="91">
        <f>Q6+IFERROR(VLOOKUP($E:$E,'（居民）工资表-4月'!$E:$U,17,0),0)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R6+IFERROR(VLOOKUP($E:$E,'（居民）工资表-4月'!$E:$AC,25,0),0)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IFERROR(VLOOKUP(E:E,'（居民）工资表-4月'!E:AF,28,0)+VLOOKUP(E:E,'（居民）工资表-4月'!E:AG,29,0),0)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L7+IFERROR(VLOOKUP($E:$E,'（居民）工资表-4月'!$E:$S,15,0),0)</f>
        <v>6000</v>
      </c>
      <c r="T7" s="91">
        <f>5000+IFERROR(VLOOKUP($E:$E,'（居民）工资表-4月'!$E:$T,16,0),0)</f>
        <v>5000</v>
      </c>
      <c r="U7" s="91">
        <f>Q7+IFERROR(VLOOKUP($E:$E,'（居民）工资表-4月'!$E:$U,17,0),0)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R7+IFERROR(VLOOKUP($E:$E,'（居民）工资表-4月'!$E:$AC,25,0),0)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IFERROR(VLOOKUP(E:E,'（居民）工资表-4月'!E:AF,28,0)+VLOOKUP(E:E,'（居民）工资表-4月'!E:AG,29,0),0)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L8+IFERROR(VLOOKUP($E:$E,'（居民）工资表-4月'!$E:$S,15,0),0)</f>
        <v>7000</v>
      </c>
      <c r="T8" s="91">
        <f>5000+IFERROR(VLOOKUP($E:$E,'（居民）工资表-4月'!$E:$T,16,0),0)</f>
        <v>5000</v>
      </c>
      <c r="U8" s="91">
        <f>Q8+IFERROR(VLOOKUP($E:$E,'（居民）工资表-4月'!$E:$U,17,0),0)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R8+IFERROR(VLOOKUP($E:$E,'（居民）工资表-4月'!$E:$AC,25,0),0)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IFERROR(VLOOKUP(E:E,'（居民）工资表-4月'!E:AF,28,0)+VLOOKUP(E:E,'（居民）工资表-4月'!E:AG,29,0),0)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L9+IFERROR(VLOOKUP($E:$E,'（居民）工资表-4月'!$E:$S,15,0),0)</f>
        <v>8000</v>
      </c>
      <c r="T9" s="91">
        <f>5000+IFERROR(VLOOKUP($E:$E,'（居民）工资表-4月'!$E:$T,16,0),0)</f>
        <v>5000</v>
      </c>
      <c r="U9" s="91">
        <f>Q9+IFERROR(VLOOKUP($E:$E,'（居民）工资表-4月'!$E:$U,17,0),0)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R9+IFERROR(VLOOKUP($E:$E,'（居民）工资表-4月'!$E:$AC,25,0),0)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IFERROR(VLOOKUP(E:E,'（居民）工资表-4月'!E:AF,28,0)+VLOOKUP(E:E,'（居民）工资表-4月'!E:AG,29,0),0)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L10+IFERROR(VLOOKUP($E:$E,'（居民）工资表-4月'!$E:$S,15,0),0)</f>
        <v>9000</v>
      </c>
      <c r="T10" s="91">
        <f>5000+IFERROR(VLOOKUP($E:$E,'（居民）工资表-4月'!$E:$T,16,0),0)</f>
        <v>5000</v>
      </c>
      <c r="U10" s="91">
        <f>Q10+IFERROR(VLOOKUP($E:$E,'（居民）工资表-4月'!$E:$U,17,0),0)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R10+IFERROR(VLOOKUP($E:$E,'（居民）工资表-4月'!$E:$AC,25,0),0)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IFERROR(VLOOKUP(E:E,'（居民）工资表-4月'!E:AF,28,0)+VLOOKUP(E:E,'（居民）工资表-4月'!E:AG,29,0),0)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L11+IFERROR(VLOOKUP($E:$E,'（居民）工资表-4月'!$E:$S,15,0),0)</f>
        <v>10000</v>
      </c>
      <c r="T11" s="91">
        <f>5000+IFERROR(VLOOKUP($E:$E,'（居民）工资表-4月'!$E:$T,16,0),0)</f>
        <v>5000</v>
      </c>
      <c r="U11" s="91">
        <f>Q11+IFERROR(VLOOKUP($E:$E,'（居民）工资表-4月'!$E:$U,17,0),0)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R11+IFERROR(VLOOKUP($E:$E,'（居民）工资表-4月'!$E:$AC,25,0),0)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IFERROR(VLOOKUP(E:E,'（居民）工资表-4月'!E:AF,28,0)+VLOOKUP(E:E,'（居民）工资表-4月'!E:AG,29,0),0)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L12+IFERROR(VLOOKUP($E:$E,'（居民）工资表-4月'!$E:$S,15,0),0)</f>
        <v>11000</v>
      </c>
      <c r="T12" s="91">
        <f>5000+IFERROR(VLOOKUP($E:$E,'（居民）工资表-4月'!$E:$T,16,0),0)</f>
        <v>5000</v>
      </c>
      <c r="U12" s="91">
        <f>Q12+IFERROR(VLOOKUP($E:$E,'（居民）工资表-4月'!$E:$U,17,0),0)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R12+IFERROR(VLOOKUP($E:$E,'（居民）工资表-4月'!$E:$AC,25,0),0)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IFERROR(VLOOKUP(E:E,'（居民）工资表-4月'!E:AF,28,0)+VLOOKUP(E:E,'（居民）工资表-4月'!E:AG,29,0),0)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L13+IFERROR(VLOOKUP($E:$E,'（居民）工资表-4月'!$E:$S,15,0),0)</f>
        <v>12000</v>
      </c>
      <c r="T13" s="91">
        <f>5000+IFERROR(VLOOKUP($E:$E,'（居民）工资表-4月'!$E:$T,16,0),0)</f>
        <v>5000</v>
      </c>
      <c r="U13" s="91">
        <f>Q13+IFERROR(VLOOKUP($E:$E,'（居民）工资表-4月'!$E:$U,17,0),0)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R13+IFERROR(VLOOKUP($E:$E,'（居民）工资表-4月'!$E:$AC,25,0),0)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IFERROR(VLOOKUP(E:E,'（居民）工资表-4月'!E:AF,28,0)+VLOOKUP(E:E,'（居民）工资表-4月'!E:AG,29,0),0)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L14+IFERROR(VLOOKUP($E:$E,'（居民）工资表-4月'!$E:$S,15,0),0)</f>
        <v>13000</v>
      </c>
      <c r="T14" s="91">
        <f>5000+IFERROR(VLOOKUP($E:$E,'（居民）工资表-4月'!$E:$T,16,0),0)</f>
        <v>5000</v>
      </c>
      <c r="U14" s="91">
        <f>Q14+IFERROR(VLOOKUP($E:$E,'（居民）工资表-4月'!$E:$U,17,0),0)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R14+IFERROR(VLOOKUP($E:$E,'（居民）工资表-4月'!$E:$AC,25,0),0)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IFERROR(VLOOKUP(E:E,'（居民）工资表-4月'!E:AF,28,0)+VLOOKUP(E:E,'（居民）工资表-4月'!E:AG,29,0),0)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L15+IFERROR(VLOOKUP($E:$E,'（居民）工资表-4月'!$E:$S,15,0),0)</f>
        <v>14000</v>
      </c>
      <c r="T15" s="91">
        <f>5000+IFERROR(VLOOKUP($E:$E,'（居民）工资表-4月'!$E:$T,16,0),0)</f>
        <v>5000</v>
      </c>
      <c r="U15" s="91">
        <f>Q15+IFERROR(VLOOKUP($E:$E,'（居民）工资表-4月'!$E:$U,17,0),0)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R15+IFERROR(VLOOKUP($E:$E,'（居民）工资表-4月'!$E:$AC,25,0),0)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IFERROR(VLOOKUP(E:E,'（居民）工资表-4月'!E:AF,28,0)+VLOOKUP(E:E,'（居民）工资表-4月'!E:AG,29,0),0)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L16+IFERROR(VLOOKUP($E:$E,'（居民）工资表-4月'!$E:$S,15,0),0)</f>
        <v>15000</v>
      </c>
      <c r="T16" s="91">
        <f>5000+IFERROR(VLOOKUP($E:$E,'（居民）工资表-4月'!$E:$T,16,0),0)</f>
        <v>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R16+IFERROR(VLOOKUP($E:$E,'（居民）工资表-4月'!$E:$AC,25,0),0)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IFERROR(VLOOKUP(E:E,'（居民）工资表-4月'!E:AF,28,0)+VLOOKUP(E:E,'（居民）工资表-4月'!E:AG,29,0),0)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L17+IFERROR(VLOOKUP($E:$E,'（居民）工资表-4月'!$E:$S,15,0),0)</f>
        <v>16000</v>
      </c>
      <c r="T17" s="91">
        <f>5000+IFERROR(VLOOKUP($E:$E,'（居民）工资表-4月'!$E:$T,16,0),0)</f>
        <v>5000</v>
      </c>
      <c r="U17" s="91">
        <f>Q17+IFERROR(VLOOKUP($E:$E,'（居民）工资表-4月'!$E:$U,17,0),0)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R17+IFERROR(VLOOKUP($E:$E,'（居民）工资表-4月'!$E:$AC,25,0),0)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IFERROR(VLOOKUP(E:E,'（居民）工资表-4月'!E:AF,28,0)+VLOOKUP(E:E,'（居民）工资表-4月'!E:AG,29,0),0)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L18+IFERROR(VLOOKUP($E:$E,'（居民）工资表-4月'!$E:$S,15,0),0)</f>
        <v>17000</v>
      </c>
      <c r="T18" s="91">
        <f>5000+IFERROR(VLOOKUP($E:$E,'（居民）工资表-4月'!$E:$T,16,0),0)</f>
        <v>5000</v>
      </c>
      <c r="U18" s="91">
        <f>Q18+IFERROR(VLOOKUP($E:$E,'（居民）工资表-4月'!$E:$U,17,0),0)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R18+IFERROR(VLOOKUP($E:$E,'（居民）工资表-4月'!$E:$AC,25,0),0)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IFERROR(VLOOKUP(E:E,'（居民）工资表-4月'!E:AF,28,0)+VLOOKUP(E:E,'（居民）工资表-4月'!E:AG,29,0),0)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L19+IFERROR(VLOOKUP($E:$E,'（居民）工资表-4月'!$E:$S,15,0),0)</f>
        <v>18000</v>
      </c>
      <c r="T19" s="91">
        <f>5000+IFERROR(VLOOKUP($E:$E,'（居民）工资表-4月'!$E:$T,16,0),0)</f>
        <v>5000</v>
      </c>
      <c r="U19" s="91">
        <f>Q19+IFERROR(VLOOKUP($E:$E,'（居民）工资表-4月'!$E:$U,17,0),0)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R19+IFERROR(VLOOKUP($E:$E,'（居民）工资表-4月'!$E:$AC,25,0),0)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IFERROR(VLOOKUP(E:E,'（居民）工资表-4月'!E:AF,28,0)+VLOOKUP(E:E,'（居民）工资表-4月'!E:AG,29,0),0)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L20+IFERROR(VLOOKUP($E:$E,'（居民）工资表-4月'!$E:$S,15,0),0)</f>
        <v>19000</v>
      </c>
      <c r="T20" s="91">
        <f>5000+IFERROR(VLOOKUP($E:$E,'（居民）工资表-4月'!$E:$T,16,0),0)</f>
        <v>5000</v>
      </c>
      <c r="U20" s="91">
        <f>Q20+IFERROR(VLOOKUP($E:$E,'（居民）工资表-4月'!$E:$U,17,0),0)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R20+IFERROR(VLOOKUP($E:$E,'（居民）工资表-4月'!$E:$AC,25,0),0)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IFERROR(VLOOKUP(E:E,'（居民）工资表-4月'!E:AF,28,0)+VLOOKUP(E:E,'（居民）工资表-4月'!E:AG,29,0),0)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L21+IFERROR(VLOOKUP($E:$E,'（居民）工资表-4月'!$E:$S,15,0),0)</f>
        <v>20000</v>
      </c>
      <c r="T21" s="91">
        <f>5000+IFERROR(VLOOKUP($E:$E,'（居民）工资表-4月'!$E:$T,16,0),0)</f>
        <v>5000</v>
      </c>
      <c r="U21" s="91">
        <f>Q21+IFERROR(VLOOKUP($E:$E,'（居民）工资表-4月'!$E:$U,17,0),0)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R21+IFERROR(VLOOKUP($E:$E,'（居民）工资表-4月'!$E:$AC,25,0),0)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IFERROR(VLOOKUP(E:E,'（居民）工资表-4月'!E:AF,28,0)+VLOOKUP(E:E,'（居民）工资表-4月'!E:AG,29,0),0)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L22+IFERROR(VLOOKUP($E:$E,'（居民）工资表-4月'!$E:$S,15,0),0)</f>
        <v>21000</v>
      </c>
      <c r="T22" s="91">
        <f>5000+IFERROR(VLOOKUP($E:$E,'（居民）工资表-4月'!$E:$T,16,0),0)</f>
        <v>5000</v>
      </c>
      <c r="U22" s="91">
        <f>Q22+IFERROR(VLOOKUP($E:$E,'（居民）工资表-4月'!$E:$U,17,0),0)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R22+IFERROR(VLOOKUP($E:$E,'（居民）工资表-4月'!$E:$AC,25,0),0)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IFERROR(VLOOKUP(E:E,'（居民）工资表-4月'!E:AF,28,0)+VLOOKUP(E:E,'（居民）工资表-4月'!E:AG,29,0),0)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L23+IFERROR(VLOOKUP($E:$E,'（居民）工资表-4月'!$E:$S,15,0),0)</f>
        <v>22000</v>
      </c>
      <c r="T23" s="91">
        <f>5000+IFERROR(VLOOKUP($E:$E,'（居民）工资表-4月'!$E:$T,16,0),0)</f>
        <v>5000</v>
      </c>
      <c r="U23" s="91">
        <f>Q23+IFERROR(VLOOKUP($E:$E,'（居民）工资表-4月'!$E:$U,17,0),0)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R23+IFERROR(VLOOKUP($E:$E,'（居民）工资表-4月'!$E:$AC,25,0),0)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IFERROR(VLOOKUP(E:E,'（居民）工资表-4月'!E:AF,28,0)+VLOOKUP(E:E,'（居民）工资表-4月'!E:AG,29,0),0)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3">
      <c r="B28" s="47" t="s">
        <v>29</v>
      </c>
      <c r="C28" s="47" t="s">
        <v>55</v>
      </c>
      <c r="D28" s="47" t="s">
        <v>30</v>
      </c>
      <c r="E28" s="47" t="s">
        <v>56</v>
      </c>
      <c r="AD28" s="10"/>
      <c r="AG28" s="19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L4+IFERROR(VLOOKUP($E:$E,'（居民）工资表-5月'!$E:$S,15,0),0)</f>
        <v>6000</v>
      </c>
      <c r="T4" s="91">
        <f>5000+IFERROR(VLOOKUP($E:$E,'（居民）工资表-5月'!$E:$T,16,0),0)</f>
        <v>10000</v>
      </c>
      <c r="U4" s="91">
        <f>Q4+IFERROR(VLOOKUP($E:$E,'（居民）工资表-5月'!$E:$U,17,0),0)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L5+IFERROR(VLOOKUP($E:$E,'（居民）工资表-5月'!$E:$S,15,0),0)</f>
        <v>8000</v>
      </c>
      <c r="T5" s="91">
        <f>5000+IFERROR(VLOOKUP($E:$E,'（居民）工资表-5月'!$E:$T,16,0),0)</f>
        <v>10000</v>
      </c>
      <c r="U5" s="91">
        <f>Q5+IFERROR(VLOOKUP($E:$E,'（居民）工资表-5月'!$E:$U,17,0),0)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R5+IFERROR(VLOOKUP($E:$E,'（居民）工资表-5月'!$E:$AC,25,0),0)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IFERROR(VLOOKUP(E:E,'（居民）工资表-5月'!E:AF,28,0)+VLOOKUP(E:E,'（居民）工资表-5月'!E:AG,29,0),0)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L6+IFERROR(VLOOKUP($E:$E,'（居民）工资表-5月'!$E:$S,15,0),0)</f>
        <v>10000</v>
      </c>
      <c r="T6" s="91">
        <f>5000+IFERROR(VLOOKUP($E:$E,'（居民）工资表-5月'!$E:$T,16,0),0)</f>
        <v>10000</v>
      </c>
      <c r="U6" s="91">
        <f>Q6+IFERROR(VLOOKUP($E:$E,'（居民）工资表-5月'!$E:$U,17,0),0)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R6+IFERROR(VLOOKUP($E:$E,'（居民）工资表-5月'!$E:$AC,25,0),0)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IFERROR(VLOOKUP(E:E,'（居民）工资表-5月'!E:AF,28,0)+VLOOKUP(E:E,'（居民）工资表-5月'!E:AG,29,0),0)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L7+IFERROR(VLOOKUP($E:$E,'（居民）工资表-5月'!$E:$S,15,0),0)</f>
        <v>12000</v>
      </c>
      <c r="T7" s="91">
        <f>5000+IFERROR(VLOOKUP($E:$E,'（居民）工资表-5月'!$E:$T,16,0),0)</f>
        <v>10000</v>
      </c>
      <c r="U7" s="91">
        <f>Q7+IFERROR(VLOOKUP($E:$E,'（居民）工资表-5月'!$E:$U,17,0),0)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R7+IFERROR(VLOOKUP($E:$E,'（居民）工资表-5月'!$E:$AC,25,0),0)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IFERROR(VLOOKUP(E:E,'（居民）工资表-5月'!E:AF,28,0)+VLOOKUP(E:E,'（居民）工资表-5月'!E:AG,29,0),0)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L8+IFERROR(VLOOKUP($E:$E,'（居民）工资表-5月'!$E:$S,15,0),0)</f>
        <v>14000</v>
      </c>
      <c r="T8" s="91">
        <f>5000+IFERROR(VLOOKUP($E:$E,'（居民）工资表-5月'!$E:$T,16,0),0)</f>
        <v>10000</v>
      </c>
      <c r="U8" s="91">
        <f>Q8+IFERROR(VLOOKUP($E:$E,'（居民）工资表-5月'!$E:$U,17,0),0)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R8+IFERROR(VLOOKUP($E:$E,'（居民）工资表-5月'!$E:$AC,25,0),0)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IFERROR(VLOOKUP(E:E,'（居民）工资表-5月'!E:AF,28,0)+VLOOKUP(E:E,'（居民）工资表-5月'!E:AG,29,0),0)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L9+IFERROR(VLOOKUP($E:$E,'（居民）工资表-5月'!$E:$S,15,0),0)</f>
        <v>16000</v>
      </c>
      <c r="T9" s="91">
        <f>5000+IFERROR(VLOOKUP($E:$E,'（居民）工资表-5月'!$E:$T,16,0),0)</f>
        <v>10000</v>
      </c>
      <c r="U9" s="91">
        <f>Q9+IFERROR(VLOOKUP($E:$E,'（居民）工资表-5月'!$E:$U,17,0),0)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R9+IFERROR(VLOOKUP($E:$E,'（居民）工资表-5月'!$E:$AC,25,0),0)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IFERROR(VLOOKUP(E:E,'（居民）工资表-5月'!E:AF,28,0)+VLOOKUP(E:E,'（居民）工资表-5月'!E:AG,29,0),0)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L10+IFERROR(VLOOKUP($E:$E,'（居民）工资表-5月'!$E:$S,15,0),0)</f>
        <v>18000</v>
      </c>
      <c r="T10" s="91">
        <f>5000+IFERROR(VLOOKUP($E:$E,'（居民）工资表-5月'!$E:$T,16,0),0)</f>
        <v>10000</v>
      </c>
      <c r="U10" s="91">
        <f>Q10+IFERROR(VLOOKUP($E:$E,'（居民）工资表-5月'!$E:$U,17,0),0)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R10+IFERROR(VLOOKUP($E:$E,'（居民）工资表-5月'!$E:$AC,25,0),0)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IFERROR(VLOOKUP(E:E,'（居民）工资表-5月'!E:AF,28,0)+VLOOKUP(E:E,'（居民）工资表-5月'!E:AG,29,0),0)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L11+IFERROR(VLOOKUP($E:$E,'（居民）工资表-5月'!$E:$S,15,0),0)</f>
        <v>20000</v>
      </c>
      <c r="T11" s="91">
        <f>5000+IFERROR(VLOOKUP($E:$E,'（居民）工资表-5月'!$E:$T,16,0),0)</f>
        <v>10000</v>
      </c>
      <c r="U11" s="91">
        <f>Q11+IFERROR(VLOOKUP($E:$E,'（居民）工资表-5月'!$E:$U,17,0),0)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R11+IFERROR(VLOOKUP($E:$E,'（居民）工资表-5月'!$E:$AC,25,0),0)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IFERROR(VLOOKUP(E:E,'（居民）工资表-5月'!E:AF,28,0)+VLOOKUP(E:E,'（居民）工资表-5月'!E:AG,29,0),0)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L12+IFERROR(VLOOKUP($E:$E,'（居民）工资表-5月'!$E:$S,15,0),0)</f>
        <v>22000</v>
      </c>
      <c r="T12" s="91">
        <f>5000+IFERROR(VLOOKUP($E:$E,'（居民）工资表-5月'!$E:$T,16,0),0)</f>
        <v>10000</v>
      </c>
      <c r="U12" s="91">
        <f>Q12+IFERROR(VLOOKUP($E:$E,'（居民）工资表-5月'!$E:$U,17,0),0)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R12+IFERROR(VLOOKUP($E:$E,'（居民）工资表-5月'!$E:$AC,25,0),0)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IFERROR(VLOOKUP(E:E,'（居民）工资表-5月'!E:AF,28,0)+VLOOKUP(E:E,'（居民）工资表-5月'!E:AG,29,0),0)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L13+IFERROR(VLOOKUP($E:$E,'（居民）工资表-5月'!$E:$S,15,0),0)</f>
        <v>24000</v>
      </c>
      <c r="T13" s="91">
        <f>5000+IFERROR(VLOOKUP($E:$E,'（居民）工资表-5月'!$E:$T,16,0),0)</f>
        <v>10000</v>
      </c>
      <c r="U13" s="91">
        <f>Q13+IFERROR(VLOOKUP($E:$E,'（居民）工资表-5月'!$E:$U,17,0),0)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R13+IFERROR(VLOOKUP($E:$E,'（居民）工资表-5月'!$E:$AC,25,0),0)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IFERROR(VLOOKUP(E:E,'（居民）工资表-5月'!E:AF,28,0)+VLOOKUP(E:E,'（居民）工资表-5月'!E:AG,29,0),0)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L14+IFERROR(VLOOKUP($E:$E,'（居民）工资表-5月'!$E:$S,15,0),0)</f>
        <v>26000</v>
      </c>
      <c r="T14" s="91">
        <f>5000+IFERROR(VLOOKUP($E:$E,'（居民）工资表-5月'!$E:$T,16,0),0)</f>
        <v>10000</v>
      </c>
      <c r="U14" s="91">
        <f>Q14+IFERROR(VLOOKUP($E:$E,'（居民）工资表-5月'!$E:$U,17,0),0)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R14+IFERROR(VLOOKUP($E:$E,'（居民）工资表-5月'!$E:$AC,25,0),0)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IFERROR(VLOOKUP(E:E,'（居民）工资表-5月'!E:AF,28,0)+VLOOKUP(E:E,'（居民）工资表-5月'!E:AG,29,0),0)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L15+IFERROR(VLOOKUP($E:$E,'（居民）工资表-5月'!$E:$S,15,0),0)</f>
        <v>28000</v>
      </c>
      <c r="T15" s="91">
        <f>5000+IFERROR(VLOOKUP($E:$E,'（居民）工资表-5月'!$E:$T,16,0),0)</f>
        <v>10000</v>
      </c>
      <c r="U15" s="91">
        <f>Q15+IFERROR(VLOOKUP($E:$E,'（居民）工资表-5月'!$E:$U,17,0),0)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R15+IFERROR(VLOOKUP($E:$E,'（居民）工资表-5月'!$E:$AC,25,0),0)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IFERROR(VLOOKUP(E:E,'（居民）工资表-5月'!E:AF,28,0)+VLOOKUP(E:E,'（居民）工资表-5月'!E:AG,29,0),0)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L16+IFERROR(VLOOKUP($E:$E,'（居民）工资表-5月'!$E:$S,15,0),0)</f>
        <v>30000</v>
      </c>
      <c r="T16" s="91">
        <f>5000+IFERROR(VLOOKUP($E:$E,'（居民）工资表-5月'!$E:$T,16,0),0)</f>
        <v>10000</v>
      </c>
      <c r="U16" s="91">
        <f>Q16+IFERROR(VLOOKUP($E:$E,'（居民）工资表-5月'!$E:$U,17,0),0)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R16+IFERROR(VLOOKUP($E:$E,'（居民）工资表-5月'!$E:$AC,25,0),0)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IFERROR(VLOOKUP(E:E,'（居民）工资表-5月'!E:AF,28,0)+VLOOKUP(E:E,'（居民）工资表-5月'!E:AG,29,0),0)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L17+IFERROR(VLOOKUP($E:$E,'（居民）工资表-5月'!$E:$S,15,0),0)</f>
        <v>32000</v>
      </c>
      <c r="T17" s="91">
        <f>5000+IFERROR(VLOOKUP($E:$E,'（居民）工资表-5月'!$E:$T,16,0),0)</f>
        <v>10000</v>
      </c>
      <c r="U17" s="91">
        <f>Q17+IFERROR(VLOOKUP($E:$E,'（居民）工资表-5月'!$E:$U,17,0),0)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R17+IFERROR(VLOOKUP($E:$E,'（居民）工资表-5月'!$E:$AC,25,0),0)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IFERROR(VLOOKUP(E:E,'（居民）工资表-5月'!E:AF,28,0)+VLOOKUP(E:E,'（居民）工资表-5月'!E:AG,29,0),0)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L18+IFERROR(VLOOKUP($E:$E,'（居民）工资表-5月'!$E:$S,15,0),0)</f>
        <v>34000</v>
      </c>
      <c r="T18" s="91">
        <f>5000+IFERROR(VLOOKUP($E:$E,'（居民）工资表-5月'!$E:$T,16,0),0)</f>
        <v>10000</v>
      </c>
      <c r="U18" s="91">
        <f>Q18+IFERROR(VLOOKUP($E:$E,'（居民）工资表-5月'!$E:$U,17,0),0)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R18+IFERROR(VLOOKUP($E:$E,'（居民）工资表-5月'!$E:$AC,25,0),0)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IFERROR(VLOOKUP(E:E,'（居民）工资表-5月'!E:AF,28,0)+VLOOKUP(E:E,'（居民）工资表-5月'!E:AG,29,0),0)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L19+IFERROR(VLOOKUP($E:$E,'（居民）工资表-5月'!$E:$S,15,0),0)</f>
        <v>36000</v>
      </c>
      <c r="T19" s="91">
        <f>5000+IFERROR(VLOOKUP($E:$E,'（居民）工资表-5月'!$E:$T,16,0),0)</f>
        <v>10000</v>
      </c>
      <c r="U19" s="91">
        <f>Q19+IFERROR(VLOOKUP($E:$E,'（居民）工资表-5月'!$E:$U,17,0),0)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R19+IFERROR(VLOOKUP($E:$E,'（居民）工资表-5月'!$E:$AC,25,0),0)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IFERROR(VLOOKUP(E:E,'（居民）工资表-5月'!E:AF,28,0)+VLOOKUP(E:E,'（居民）工资表-5月'!E:AG,29,0),0)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L20+IFERROR(VLOOKUP($E:$E,'（居民）工资表-5月'!$E:$S,15,0),0)</f>
        <v>38000</v>
      </c>
      <c r="T20" s="91">
        <f>5000+IFERROR(VLOOKUP($E:$E,'（居民）工资表-5月'!$E:$T,16,0),0)</f>
        <v>10000</v>
      </c>
      <c r="U20" s="91">
        <f>Q20+IFERROR(VLOOKUP($E:$E,'（居民）工资表-5月'!$E:$U,17,0),0)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R20+IFERROR(VLOOKUP($E:$E,'（居民）工资表-5月'!$E:$AC,25,0),0)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IFERROR(VLOOKUP(E:E,'（居民）工资表-5月'!E:AF,28,0)+VLOOKUP(E:E,'（居民）工资表-5月'!E:AG,29,0),0)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L21+IFERROR(VLOOKUP($E:$E,'（居民）工资表-5月'!$E:$S,15,0),0)</f>
        <v>40000</v>
      </c>
      <c r="T21" s="91">
        <f>5000+IFERROR(VLOOKUP($E:$E,'（居民）工资表-5月'!$E:$T,16,0),0)</f>
        <v>10000</v>
      </c>
      <c r="U21" s="91">
        <f>Q21+IFERROR(VLOOKUP($E:$E,'（居民）工资表-5月'!$E:$U,17,0),0)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R21+IFERROR(VLOOKUP($E:$E,'（居民）工资表-5月'!$E:$AC,25,0),0)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IFERROR(VLOOKUP(E:E,'（居民）工资表-5月'!E:AF,28,0)+VLOOKUP(E:E,'（居民）工资表-5月'!E:AG,29,0),0)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L22+IFERROR(VLOOKUP($E:$E,'（居民）工资表-5月'!$E:$S,15,0),0)</f>
        <v>42000</v>
      </c>
      <c r="T22" s="91">
        <f>5000+IFERROR(VLOOKUP($E:$E,'（居民）工资表-5月'!$E:$T,16,0),0)</f>
        <v>10000</v>
      </c>
      <c r="U22" s="91">
        <f>Q22+IFERROR(VLOOKUP($E:$E,'（居民）工资表-5月'!$E:$U,17,0),0)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R22+IFERROR(VLOOKUP($E:$E,'（居民）工资表-5月'!$E:$AC,25,0),0)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IFERROR(VLOOKUP(E:E,'（居民）工资表-5月'!E:AF,28,0)+VLOOKUP(E:E,'（居民）工资表-5月'!E:AG,29,0),0)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L23+IFERROR(VLOOKUP($E:$E,'（居民）工资表-5月'!$E:$S,15,0),0)</f>
        <v>44000</v>
      </c>
      <c r="T23" s="91">
        <f>5000+IFERROR(VLOOKUP($E:$E,'（居民）工资表-5月'!$E:$T,16,0),0)</f>
        <v>10000</v>
      </c>
      <c r="U23" s="91">
        <f>Q23+IFERROR(VLOOKUP($E:$E,'（居民）工资表-5月'!$E:$U,17,0),0)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R23+IFERROR(VLOOKUP($E:$E,'（居民）工资表-5月'!$E:$AC,25,0),0)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IFERROR(VLOOKUP(E:E,'（居民）工资表-5月'!E:AF,28,0)+VLOOKUP(E:E,'（居民）工资表-5月'!E:AG,29,0),0)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30" sqref="N3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L4+IFERROR(VLOOKUP($E:$E,'（居民）工资表-6月'!$E:$S,15,0),0)</f>
        <v>9000</v>
      </c>
      <c r="T4" s="91">
        <f>5000+IFERROR(VLOOKUP($E:$E,'（居民）工资表-6月'!$E:$T,16,0),0)</f>
        <v>15000</v>
      </c>
      <c r="U4" s="91">
        <f>Q4+IFERROR(VLOOKUP($E:$E,'（居民）工资表-6月'!$E:$U,17,0),0)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L5+IFERROR(VLOOKUP($E:$E,'（居民）工资表-6月'!$E:$S,15,0),0)</f>
        <v>12000</v>
      </c>
      <c r="T5" s="91">
        <f>5000+IFERROR(VLOOKUP($E:$E,'（居民）工资表-6月'!$E:$T,16,0),0)</f>
        <v>15000</v>
      </c>
      <c r="U5" s="91">
        <f>Q5+IFERROR(VLOOKUP($E:$E,'（居民）工资表-6月'!$E:$U,17,0),0)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R5+IFERROR(VLOOKUP($E:$E,'（居民）工资表-6月'!$E:$AC,25,0),0)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IFERROR(VLOOKUP(E:E,'（居民）工资表-6月'!E:AF,28,0)+VLOOKUP(E:E,'（居民）工资表-6月'!E:AG,29,0),0)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L6+IFERROR(VLOOKUP($E:$E,'（居民）工资表-6月'!$E:$S,15,0),0)</f>
        <v>15000</v>
      </c>
      <c r="T6" s="91">
        <f>5000+IFERROR(VLOOKUP($E:$E,'（居民）工资表-6月'!$E:$T,16,0),0)</f>
        <v>15000</v>
      </c>
      <c r="U6" s="91">
        <f>Q6+IFERROR(VLOOKUP($E:$E,'（居民）工资表-6月'!$E:$U,17,0),0)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R6+IFERROR(VLOOKUP($E:$E,'（居民）工资表-6月'!$E:$AC,25,0),0)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IFERROR(VLOOKUP(E:E,'（居民）工资表-6月'!E:AF,28,0)+VLOOKUP(E:E,'（居民）工资表-6月'!E:AG,29,0),0)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L7+IFERROR(VLOOKUP($E:$E,'（居民）工资表-6月'!$E:$S,15,0),0)</f>
        <v>18000</v>
      </c>
      <c r="T7" s="91">
        <f>5000+IFERROR(VLOOKUP($E:$E,'（居民）工资表-6月'!$E:$T,16,0),0)</f>
        <v>15000</v>
      </c>
      <c r="U7" s="91">
        <f>Q7+IFERROR(VLOOKUP($E:$E,'（居民）工资表-6月'!$E:$U,17,0),0)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R7+IFERROR(VLOOKUP($E:$E,'（居民）工资表-6月'!$E:$AC,25,0),0)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IFERROR(VLOOKUP(E:E,'（居民）工资表-6月'!E:AF,28,0)+VLOOKUP(E:E,'（居民）工资表-6月'!E:AG,29,0),0)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L8+IFERROR(VLOOKUP($E:$E,'（居民）工资表-6月'!$E:$S,15,0),0)</f>
        <v>21000</v>
      </c>
      <c r="T8" s="91">
        <f>5000+IFERROR(VLOOKUP($E:$E,'（居民）工资表-6月'!$E:$T,16,0),0)</f>
        <v>15000</v>
      </c>
      <c r="U8" s="91">
        <f>Q8+IFERROR(VLOOKUP($E:$E,'（居民）工资表-6月'!$E:$U,17,0),0)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R8+IFERROR(VLOOKUP($E:$E,'（居民）工资表-6月'!$E:$AC,25,0),0)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IFERROR(VLOOKUP(E:E,'（居民）工资表-6月'!E:AF,28,0)+VLOOKUP(E:E,'（居民）工资表-6月'!E:AG,29,0),0)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L9+IFERROR(VLOOKUP($E:$E,'（居民）工资表-6月'!$E:$S,15,0),0)</f>
        <v>24000</v>
      </c>
      <c r="T9" s="91">
        <f>5000+IFERROR(VLOOKUP($E:$E,'（居民）工资表-6月'!$E:$T,16,0),0)</f>
        <v>15000</v>
      </c>
      <c r="U9" s="91">
        <f>Q9+IFERROR(VLOOKUP($E:$E,'（居民）工资表-6月'!$E:$U,17,0),0)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R9+IFERROR(VLOOKUP($E:$E,'（居民）工资表-6月'!$E:$AC,25,0),0)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IFERROR(VLOOKUP(E:E,'（居民）工资表-6月'!E:AF,28,0)+VLOOKUP(E:E,'（居民）工资表-6月'!E:AG,29,0),0)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L10+IFERROR(VLOOKUP($E:$E,'（居民）工资表-6月'!$E:$S,15,0),0)</f>
        <v>27000</v>
      </c>
      <c r="T10" s="91">
        <f>5000+IFERROR(VLOOKUP($E:$E,'（居民）工资表-6月'!$E:$T,16,0),0)</f>
        <v>15000</v>
      </c>
      <c r="U10" s="91">
        <f>Q10+IFERROR(VLOOKUP($E:$E,'（居民）工资表-6月'!$E:$U,17,0),0)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R10+IFERROR(VLOOKUP($E:$E,'（居民）工资表-6月'!$E:$AC,25,0),0)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IFERROR(VLOOKUP(E:E,'（居民）工资表-6月'!E:AF,28,0)+VLOOKUP(E:E,'（居民）工资表-6月'!E:AG,29,0),0)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L11+IFERROR(VLOOKUP($E:$E,'（居民）工资表-6月'!$E:$S,15,0),0)</f>
        <v>30000</v>
      </c>
      <c r="T11" s="91">
        <f>5000+IFERROR(VLOOKUP($E:$E,'（居民）工资表-6月'!$E:$T,16,0),0)</f>
        <v>15000</v>
      </c>
      <c r="U11" s="91">
        <f>Q11+IFERROR(VLOOKUP($E:$E,'（居民）工资表-6月'!$E:$U,17,0),0)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R11+IFERROR(VLOOKUP($E:$E,'（居民）工资表-6月'!$E:$AC,25,0),0)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IFERROR(VLOOKUP(E:E,'（居民）工资表-6月'!E:AF,28,0)+VLOOKUP(E:E,'（居民）工资表-6月'!E:AG,29,0),0)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L12+IFERROR(VLOOKUP($E:$E,'（居民）工资表-6月'!$E:$S,15,0),0)</f>
        <v>33000</v>
      </c>
      <c r="T12" s="91">
        <f>5000+IFERROR(VLOOKUP($E:$E,'（居民）工资表-6月'!$E:$T,16,0),0)</f>
        <v>15000</v>
      </c>
      <c r="U12" s="91">
        <f>Q12+IFERROR(VLOOKUP($E:$E,'（居民）工资表-6月'!$E:$U,17,0),0)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R12+IFERROR(VLOOKUP($E:$E,'（居民）工资表-6月'!$E:$AC,25,0),0)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IFERROR(VLOOKUP(E:E,'（居民）工资表-6月'!E:AF,28,0)+VLOOKUP(E:E,'（居民）工资表-6月'!E:AG,29,0),0)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L13+IFERROR(VLOOKUP($E:$E,'（居民）工资表-6月'!$E:$S,15,0),0)</f>
        <v>36000</v>
      </c>
      <c r="T13" s="91">
        <f>5000+IFERROR(VLOOKUP($E:$E,'（居民）工资表-6月'!$E:$T,16,0),0)</f>
        <v>15000</v>
      </c>
      <c r="U13" s="91">
        <f>Q13+IFERROR(VLOOKUP($E:$E,'（居民）工资表-6月'!$E:$U,17,0),0)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R13+IFERROR(VLOOKUP($E:$E,'（居民）工资表-6月'!$E:$AC,25,0),0)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IFERROR(VLOOKUP(E:E,'（居民）工资表-6月'!E:AF,28,0)+VLOOKUP(E:E,'（居民）工资表-6月'!E:AG,29,0),0)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L14+IFERROR(VLOOKUP($E:$E,'（居民）工资表-6月'!$E:$S,15,0),0)</f>
        <v>39000</v>
      </c>
      <c r="T14" s="91">
        <f>5000+IFERROR(VLOOKUP($E:$E,'（居民）工资表-6月'!$E:$T,16,0),0)</f>
        <v>15000</v>
      </c>
      <c r="U14" s="91">
        <f>Q14+IFERROR(VLOOKUP($E:$E,'（居民）工资表-6月'!$E:$U,17,0),0)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R14+IFERROR(VLOOKUP($E:$E,'（居民）工资表-6月'!$E:$AC,25,0),0)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IFERROR(VLOOKUP(E:E,'（居民）工资表-6月'!E:AF,28,0)+VLOOKUP(E:E,'（居民）工资表-6月'!E:AG,29,0),0)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L15+IFERROR(VLOOKUP($E:$E,'（居民）工资表-6月'!$E:$S,15,0),0)</f>
        <v>42000</v>
      </c>
      <c r="T15" s="91">
        <f>5000+IFERROR(VLOOKUP($E:$E,'（居民）工资表-6月'!$E:$T,16,0),0)</f>
        <v>15000</v>
      </c>
      <c r="U15" s="91">
        <f>Q15+IFERROR(VLOOKUP($E:$E,'（居民）工资表-6月'!$E:$U,17,0),0)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R15+IFERROR(VLOOKUP($E:$E,'（居民）工资表-6月'!$E:$AC,25,0),0)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IFERROR(VLOOKUP(E:E,'（居民）工资表-6月'!E:AF,28,0)+VLOOKUP(E:E,'（居民）工资表-6月'!E:AG,29,0),0)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L16+IFERROR(VLOOKUP($E:$E,'（居民）工资表-6月'!$E:$S,15,0),0)</f>
        <v>45000</v>
      </c>
      <c r="T16" s="91">
        <f>5000+IFERROR(VLOOKUP($E:$E,'（居民）工资表-6月'!$E:$T,16,0),0)</f>
        <v>15000</v>
      </c>
      <c r="U16" s="91">
        <f>Q16+IFERROR(VLOOKUP($E:$E,'（居民）工资表-6月'!$E:$U,17,0),0)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R16+IFERROR(VLOOKUP($E:$E,'（居民）工资表-6月'!$E:$AC,25,0),0)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IFERROR(VLOOKUP(E:E,'（居民）工资表-6月'!E:AF,28,0)+VLOOKUP(E:E,'（居民）工资表-6月'!E:AG,29,0),0)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L17+IFERROR(VLOOKUP($E:$E,'（居民）工资表-6月'!$E:$S,15,0),0)</f>
        <v>48000</v>
      </c>
      <c r="T17" s="91">
        <f>5000+IFERROR(VLOOKUP($E:$E,'（居民）工资表-6月'!$E:$T,16,0),0)</f>
        <v>15000</v>
      </c>
      <c r="U17" s="91">
        <f>Q17+IFERROR(VLOOKUP($E:$E,'（居民）工资表-6月'!$E:$U,17,0),0)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R17+IFERROR(VLOOKUP($E:$E,'（居民）工资表-6月'!$E:$AC,25,0),0)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IFERROR(VLOOKUP(E:E,'（居民）工资表-6月'!E:AF,28,0)+VLOOKUP(E:E,'（居民）工资表-6月'!E:AG,29,0),0)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L18+IFERROR(VLOOKUP($E:$E,'（居民）工资表-6月'!$E:$S,15,0),0)</f>
        <v>51000</v>
      </c>
      <c r="T18" s="91">
        <f>5000+IFERROR(VLOOKUP($E:$E,'（居民）工资表-6月'!$E:$T,16,0),0)</f>
        <v>15000</v>
      </c>
      <c r="U18" s="91">
        <f>Q18+IFERROR(VLOOKUP($E:$E,'（居民）工资表-6月'!$E:$U,17,0),0)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R18+IFERROR(VLOOKUP($E:$E,'（居民）工资表-6月'!$E:$AC,25,0),0)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IFERROR(VLOOKUP(E:E,'（居民）工资表-6月'!E:AF,28,0)+VLOOKUP(E:E,'（居民）工资表-6月'!E:AG,29,0),0)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L19+IFERROR(VLOOKUP($E:$E,'（居民）工资表-6月'!$E:$S,15,0),0)</f>
        <v>54000</v>
      </c>
      <c r="T19" s="91">
        <f>5000+IFERROR(VLOOKUP($E:$E,'（居民）工资表-6月'!$E:$T,16,0),0)</f>
        <v>15000</v>
      </c>
      <c r="U19" s="91">
        <f>Q19+IFERROR(VLOOKUP($E:$E,'（居民）工资表-6月'!$E:$U,17,0),0)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R19+IFERROR(VLOOKUP($E:$E,'（居民）工资表-6月'!$E:$AC,25,0),0)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IFERROR(VLOOKUP(E:E,'（居民）工资表-6月'!E:AF,28,0)+VLOOKUP(E:E,'（居民）工资表-6月'!E:AG,29,0),0)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L20+IFERROR(VLOOKUP($E:$E,'（居民）工资表-6月'!$E:$S,15,0),0)</f>
        <v>57000</v>
      </c>
      <c r="T20" s="91">
        <f>5000+IFERROR(VLOOKUP($E:$E,'（居民）工资表-6月'!$E:$T,16,0),0)</f>
        <v>15000</v>
      </c>
      <c r="U20" s="91">
        <f>Q20+IFERROR(VLOOKUP($E:$E,'（居民）工资表-6月'!$E:$U,17,0),0)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R20+IFERROR(VLOOKUP($E:$E,'（居民）工资表-6月'!$E:$AC,25,0),0)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IFERROR(VLOOKUP(E:E,'（居民）工资表-6月'!E:AF,28,0)+VLOOKUP(E:E,'（居民）工资表-6月'!E:AG,29,0),0)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L21+IFERROR(VLOOKUP($E:$E,'（居民）工资表-6月'!$E:$S,15,0),0)</f>
        <v>60000</v>
      </c>
      <c r="T21" s="91">
        <f>5000+IFERROR(VLOOKUP($E:$E,'（居民）工资表-6月'!$E:$T,16,0),0)</f>
        <v>15000</v>
      </c>
      <c r="U21" s="91">
        <f>Q21+IFERROR(VLOOKUP($E:$E,'（居民）工资表-6月'!$E:$U,17,0),0)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R21+IFERROR(VLOOKUP($E:$E,'（居民）工资表-6月'!$E:$AC,25,0),0)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IFERROR(VLOOKUP(E:E,'（居民）工资表-6月'!E:AF,28,0)+VLOOKUP(E:E,'（居民）工资表-6月'!E:AG,29,0),0)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L22+IFERROR(VLOOKUP($E:$E,'（居民）工资表-6月'!$E:$S,15,0),0)</f>
        <v>63000</v>
      </c>
      <c r="T22" s="91">
        <f>5000+IFERROR(VLOOKUP($E:$E,'（居民）工资表-6月'!$E:$T,16,0),0)</f>
        <v>15000</v>
      </c>
      <c r="U22" s="91">
        <f>Q22+IFERROR(VLOOKUP($E:$E,'（居民）工资表-6月'!$E:$U,17,0),0)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R22+IFERROR(VLOOKUP($E:$E,'（居民）工资表-6月'!$E:$AC,25,0),0)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IFERROR(VLOOKUP(E:E,'（居民）工资表-6月'!E:AF,28,0)+VLOOKUP(E:E,'（居民）工资表-6月'!E:AG,29,0),0)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L23+IFERROR(VLOOKUP($E:$E,'（居民）工资表-6月'!$E:$S,15,0),0)</f>
        <v>66000</v>
      </c>
      <c r="T23" s="91">
        <f>5000+IFERROR(VLOOKUP($E:$E,'（居民）工资表-6月'!$E:$T,16,0),0)</f>
        <v>15000</v>
      </c>
      <c r="U23" s="91">
        <f>Q23+IFERROR(VLOOKUP($E:$E,'（居民）工资表-6月'!$E:$U,17,0),0)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R23+IFERROR(VLOOKUP($E:$E,'（居民）工资表-6月'!$E:$AC,25,0),0)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IFERROR(VLOOKUP(E:E,'（居民）工资表-6月'!E:AF,28,0)+VLOOKUP(E:E,'（居民）工资表-6月'!E:AG,29,0),0)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（居民）工资表-1月</vt:lpstr>
      <vt:lpstr>付款通知</vt:lpstr>
      <vt:lpstr>（居民）工资表-2月</vt:lpstr>
      <vt:lpstr>社保</vt:lpstr>
      <vt:lpstr>（居民）工资表-3月</vt:lpstr>
      <vt:lpstr>（居民）工资表-4月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杨霞</cp:lastModifiedBy>
  <dcterms:created xsi:type="dcterms:W3CDTF">2018-08-01T08:19:00Z</dcterms:created>
  <cp:lastPrinted>2019-02-02T09:30:00Z</cp:lastPrinted>
  <dcterms:modified xsi:type="dcterms:W3CDTF">2021-04-07T07:42:57Z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2052-11.1.0.10314</vt:lpwstr>
  </property>
  <property fmtid="{D5CDD505-2E9C-101B-9397-08002B2CF9AE}" pid="4" name="ICV">
    <vt:lpwstr>0CA31BD6F5CE44B3B50BCFC656237C74</vt:lpwstr>
  </property>
</Properties>
</file>