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workbookProtection/>
  <bookViews>
    <workbookView windowWidth="28800" windowHeight="12090" tabRatio="500"/>
  </bookViews>
  <sheets>
    <sheet name="（居民）工资表-2103月" sheetId="1" r:id="rId1"/>
    <sheet name="Sheet4" sheetId="6" r:id="rId2"/>
    <sheet name="Sheet5" sheetId="7" r:id="rId3"/>
    <sheet name="Sheet6" sheetId="8" r:id="rId4"/>
    <sheet name="Sheet7" sheetId="9" r:id="rId5"/>
    <sheet name="Sheet8" sheetId="10" r:id="rId6"/>
    <sheet name="Sheet9" sheetId="11" r:id="rId7"/>
    <sheet name="Sheet10" sheetId="12" r:id="rId8"/>
    <sheet name="（居民）劳务费" sheetId="13" r:id="rId9"/>
    <sheet name="（居民）稿酬" sheetId="14" r:id="rId10"/>
    <sheet name="（居民）特许权使用费" sheetId="15" r:id="rId11"/>
    <sheet name="（居民）年终奖" sheetId="16" r:id="rId12"/>
    <sheet name="（非居民）综合所得工资表" sheetId="17" r:id="rId13"/>
    <sheet name="税率表" sheetId="18" r:id="rId14"/>
  </sheets>
  <externalReferences>
    <externalReference r:id="rId15"/>
  </externalReferences>
  <definedNames>
    <definedName name="_xlnm._FilterDatabase" localSheetId="0" hidden="1">'（居民）工资表-2103月'!$A$3:$BC$25</definedName>
    <definedName name="_xlnm.Print_Area" localSheetId="0">'（居民）工资表-2103月'!$A$1:$BC$31</definedName>
  </definedNames>
  <calcPr calcId="144525"/>
</workbook>
</file>

<file path=xl/comments1.xml><?xml version="1.0" encoding="utf-8"?>
<comments xmlns="http://schemas.openxmlformats.org/spreadsheetml/2006/main">
  <authors>
    <author xml:space="preserve"> </author>
  </authors>
  <commentList>
    <comment ref="Z2" authorId="0">
      <text>
        <r>
          <rPr>
            <sz val="9"/>
            <rFont val="宋体"/>
            <charset val="134"/>
          </rPr>
          <t>其他扣除限以下内容：
年金、商业健康保险、税延养老保险、财产原值、允许扣除的税费、其他国家规定扣除</t>
        </r>
      </text>
    </comment>
    <comment ref="AA2" authorId="0">
      <text>
        <r>
          <rPr>
            <sz val="9"/>
            <rFont val="宋体"/>
            <charset val="134"/>
          </rPr>
          <t>AutoBVT:
填写所在单位实际任职累计月</t>
        </r>
      </text>
    </comment>
    <comment ref="AB2" authorId="0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AC2" authorId="0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AD2" authorId="0">
      <text>
        <r>
          <rPr>
            <sz val="9"/>
            <rFont val="宋体"/>
            <charset val="134"/>
          </rPr>
          <t xml:space="preserve">
填写本年度截止当前月份的个人社保累计金额</t>
        </r>
      </text>
    </comment>
    <comment ref="AE2" authorId="0">
      <text>
        <r>
          <rPr>
            <sz val="9"/>
            <rFont val="宋体"/>
            <charset val="134"/>
          </rPr>
          <t>AutoBVT:
分别填写截止当前月份的专项附加扣除累计金额</t>
        </r>
      </text>
    </comment>
    <comment ref="AK2" authorId="0">
      <text>
        <r>
          <rPr>
            <sz val="9"/>
            <rFont val="宋体"/>
            <charset val="134"/>
          </rPr>
          <t xml:space="preserve">
截止当前月份的专项附加扣除累计金额</t>
        </r>
      </text>
    </comment>
    <comment ref="AL2" authorId="0">
      <text>
        <r>
          <rPr>
            <sz val="9"/>
            <rFont val="宋体"/>
            <charset val="134"/>
          </rPr>
          <t xml:space="preserve">
填写本年度截止当前月份的国家允许的其他扣除累计金额</t>
        </r>
      </text>
    </comment>
    <comment ref="AM2" authorId="0">
      <text>
        <r>
          <rPr>
            <sz val="9"/>
            <rFont val="宋体"/>
            <charset val="134"/>
          </rPr>
          <t>AutoBVT:
累计应纳税所得额</t>
        </r>
      </text>
    </comment>
    <comment ref="AO2" authorId="0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P2" authorId="0">
      <text>
        <r>
          <rPr>
            <sz val="9"/>
            <rFont val="宋体"/>
            <charset val="134"/>
          </rPr>
          <t>AutoBVT:
累计预扣预缴税额-已预扣预缴税额=本月应补（退）税额</t>
        </r>
      </text>
    </comment>
    <comment ref="AQ2" authorId="0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R2" authorId="0">
      <text>
        <r>
          <rPr>
            <sz val="9"/>
            <rFont val="Tahoma"/>
            <charset val="134"/>
          </rPr>
          <t xml:space="preserve">lenovo:
</t>
        </r>
        <r>
          <rPr>
            <sz val="9"/>
            <rFont val="宋体"/>
            <charset val="134"/>
          </rPr>
          <t>补低差、罚款，取暖费等国家允许的税后扣除款项</t>
        </r>
      </text>
    </comment>
    <comment ref="S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T3" authorId="0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U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V3" authorId="0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W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学历继续教育 </t>
        </r>
        <r>
          <rPr>
            <sz val="9"/>
            <rFont val="Tahoma"/>
            <charset val="134"/>
          </rPr>
          <t>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 xml:space="preserve">职业资格继续教育 </t>
        </r>
        <r>
          <rPr>
            <sz val="9"/>
            <rFont val="Tahoma"/>
            <charset val="134"/>
          </rPr>
          <t>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X3" authorId="0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  <comment ref="AE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AF3" authorId="0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AG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AH3" authorId="0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AI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学历继续教育 </t>
        </r>
        <r>
          <rPr>
            <sz val="9"/>
            <rFont val="Tahoma"/>
            <charset val="134"/>
          </rPr>
          <t>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 xml:space="preserve">职业资格继续教育 </t>
        </r>
        <r>
          <rPr>
            <sz val="9"/>
            <rFont val="Tahoma"/>
            <charset val="134"/>
          </rPr>
          <t>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J3" authorId="0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  <comment ref="C14" authorId="0">
      <text>
        <r>
          <rPr>
            <b/>
            <sz val="9"/>
            <rFont val="宋体"/>
            <charset val="134"/>
          </rPr>
          <t xml:space="preserve">pc:
</t>
        </r>
        <r>
          <rPr>
            <sz val="9"/>
            <rFont val="宋体"/>
            <charset val="134"/>
          </rPr>
          <t>2017-6-21日入职</t>
        </r>
      </text>
    </comment>
    <comment ref="C19" authorId="0">
      <text>
        <r>
          <rPr>
            <b/>
            <sz val="9"/>
            <rFont val="宋体"/>
            <charset val="134"/>
          </rPr>
          <t xml:space="preserve">pc:
</t>
        </r>
        <r>
          <rPr>
            <sz val="9"/>
            <rFont val="宋体"/>
            <charset val="134"/>
          </rPr>
          <t xml:space="preserve">2017-5-22入职
</t>
        </r>
      </text>
    </comment>
    <comment ref="C20" authorId="0">
      <text>
        <r>
          <rPr>
            <b/>
            <sz val="9"/>
            <rFont val="宋体"/>
            <charset val="134"/>
          </rPr>
          <t xml:space="preserve">pc:
</t>
        </r>
        <r>
          <rPr>
            <sz val="9"/>
            <rFont val="宋体"/>
            <charset val="134"/>
          </rPr>
          <t>2017-6-15日入职；2019.9.19涨薪1500元</t>
        </r>
      </text>
    </comment>
  </commentList>
</comments>
</file>

<file path=xl/comments2.xml><?xml version="1.0" encoding="utf-8"?>
<comments xmlns="http://schemas.openxmlformats.org/spreadsheetml/2006/main">
  <authors>
    <author xml:space="preserve"> </author>
  </authors>
  <commentList>
    <comment ref="H2" authorId="0">
      <text>
        <r>
          <rPr>
            <sz val="9"/>
            <rFont val="Tahoma"/>
            <charset val="134"/>
          </rPr>
          <t xml:space="preserve">zwj:
</t>
        </r>
        <r>
          <rPr>
            <sz val="9"/>
            <rFont val="宋体"/>
            <charset val="134"/>
          </rPr>
          <t>税前工资不能为负数</t>
        </r>
      </text>
    </comment>
    <comment ref="O2" authorId="0">
      <text>
        <r>
          <rPr>
            <sz val="9"/>
            <color rgb="FF000000"/>
            <rFont val="宋体"/>
            <charset val="134"/>
          </rPr>
          <t>补低差、罚款，取暖费等税后扣除款项</t>
        </r>
      </text>
    </comment>
  </commentList>
</comments>
</file>

<file path=xl/comments3.xml><?xml version="1.0" encoding="utf-8"?>
<comments xmlns="http://schemas.openxmlformats.org/spreadsheetml/2006/main">
  <authors>
    <author xml:space="preserve"> </author>
  </authors>
  <commentList>
    <comment ref="K2" authorId="0">
      <text>
        <r>
          <rPr>
            <sz val="9"/>
            <rFont val="宋体"/>
            <charset val="134"/>
          </rPr>
          <t>AutoBVT:
居民稿酬、特许权使用费预扣税率统一为：20%</t>
        </r>
      </text>
    </comment>
    <comment ref="N2" authorId="0">
      <text>
        <r>
          <rPr>
            <sz val="9"/>
            <color rgb="FF000000"/>
            <rFont val="宋体"/>
            <charset val="134"/>
          </rPr>
          <t>补低差、罚款，取暖费等税后扣除款项</t>
        </r>
      </text>
    </comment>
  </commentList>
</comments>
</file>

<file path=xl/comments4.xml><?xml version="1.0" encoding="utf-8"?>
<comments xmlns="http://schemas.openxmlformats.org/spreadsheetml/2006/main">
  <authors>
    <author xml:space="preserve"> </author>
  </authors>
  <commentList>
    <comment ref="K2" authorId="0">
      <text>
        <r>
          <rPr>
            <sz val="9"/>
            <rFont val="宋体"/>
            <charset val="134"/>
          </rPr>
          <t>AutoBVT:
居民稿酬、特许权使用费预扣税率统一为：20%</t>
        </r>
      </text>
    </comment>
    <comment ref="N2" authorId="0">
      <text>
        <r>
          <rPr>
            <sz val="9"/>
            <color rgb="FF000000"/>
            <rFont val="宋体"/>
            <charset val="134"/>
          </rPr>
          <t>补低差、罚款，取暖费等税后扣除款项</t>
        </r>
      </text>
    </comment>
  </commentList>
</comments>
</file>

<file path=xl/comments5.xml><?xml version="1.0" encoding="utf-8"?>
<comments xmlns="http://schemas.openxmlformats.org/spreadsheetml/2006/main">
  <authors>
    <author xml:space="preserve"> </author>
  </authors>
  <commentList>
    <comment ref="C2" authorId="0">
      <text>
        <r>
          <rPr>
            <sz val="9"/>
            <rFont val="宋体"/>
            <charset val="134"/>
          </rPr>
          <t xml:space="preserve">证件类型为外国护照时录入证件上的英文姓名，其他证件录入中文姓名
</t>
        </r>
      </text>
    </comment>
    <comment ref="D2" authorId="0">
      <text>
        <r>
          <rPr>
            <sz val="9"/>
            <rFont val="宋体"/>
            <charset val="134"/>
          </rPr>
          <t xml:space="preserve">在下拉列表中选择
</t>
        </r>
      </text>
    </comment>
    <comment ref="T2" authorId="0">
      <text>
        <r>
          <rPr>
            <sz val="9"/>
            <rFont val="宋体"/>
            <charset val="134"/>
          </rPr>
          <t>税前工资不能为负数</t>
        </r>
      </text>
    </comment>
    <comment ref="V2" authorId="0">
      <text>
        <r>
          <rPr>
            <sz val="9"/>
            <color rgb="FF000000"/>
            <rFont val="宋体"/>
            <charset val="134"/>
          </rPr>
          <t xml:space="preserve">
2018.10.1（含）适用最新税率，扣除数5000</t>
        </r>
      </text>
    </comment>
    <comment ref="W2" authorId="0">
      <text>
        <r>
          <rPr>
            <sz val="9"/>
            <rFont val="Tahoma"/>
            <charset val="134"/>
          </rPr>
          <t xml:space="preserve">xbany:
</t>
        </r>
        <r>
          <rPr>
            <sz val="9"/>
            <rFont val="宋体"/>
            <charset val="134"/>
          </rPr>
          <t>收入额减除</t>
        </r>
        <r>
          <rPr>
            <sz val="9"/>
            <rFont val="Tahoma"/>
            <charset val="134"/>
          </rPr>
          <t>5000</t>
        </r>
        <r>
          <rPr>
            <sz val="9"/>
            <rFont val="宋体"/>
            <charset val="134"/>
          </rPr>
          <t>费用后余额为应纳税所得额</t>
        </r>
      </text>
    </comment>
    <comment ref="AB2" authorId="0">
      <text>
        <r>
          <rPr>
            <sz val="9"/>
            <color rgb="FF000000"/>
            <rFont val="宋体"/>
            <charset val="134"/>
          </rPr>
          <t>补低差、罚款，取暖费等税后扣除款项</t>
        </r>
      </text>
    </comment>
  </commentList>
</comments>
</file>

<file path=xl/sharedStrings.xml><?xml version="1.0" encoding="utf-8"?>
<sst xmlns="http://schemas.openxmlformats.org/spreadsheetml/2006/main" count="501" uniqueCount="205">
  <si>
    <t xml:space="preserve"> 注：只填写表头字体颜色为红色的项目，其他数据有公式自动带出，不要修改</t>
  </si>
  <si>
    <t>此区域不能空白，没有金额请填0，负数金额不能填写</t>
  </si>
  <si>
    <t>序号</t>
  </si>
  <si>
    <r>
      <rPr>
        <sz val="10"/>
        <color rgb="FFFF0000"/>
        <rFont val="宋体"/>
        <charset val="134"/>
      </rPr>
      <t>客户简称</t>
    </r>
    <r>
      <rPr>
        <sz val="10"/>
        <color rgb="FFFF0000"/>
        <rFont val="Arial Unicode MS"/>
        <charset val="134"/>
      </rPr>
      <t>/</t>
    </r>
    <r>
      <rPr>
        <sz val="10"/>
        <color rgb="FFFF0000"/>
        <rFont val="宋体"/>
        <charset val="134"/>
      </rPr>
      <t>月份</t>
    </r>
  </si>
  <si>
    <r>
      <rPr>
        <sz val="10"/>
        <color rgb="FFFF0000"/>
        <rFont val="Arial Unicode MS"/>
        <charset val="134"/>
      </rPr>
      <t>*</t>
    </r>
    <r>
      <rPr>
        <sz val="10"/>
        <color rgb="FFFF0000"/>
        <rFont val="宋体"/>
        <charset val="134"/>
      </rPr>
      <t>姓名</t>
    </r>
  </si>
  <si>
    <r>
      <rPr>
        <sz val="10"/>
        <color rgb="FFFF0000"/>
        <rFont val="Arial Unicode MS"/>
        <charset val="134"/>
      </rPr>
      <t>*</t>
    </r>
    <r>
      <rPr>
        <sz val="10"/>
        <color rgb="FFFF0000"/>
        <rFont val="宋体"/>
        <charset val="134"/>
      </rPr>
      <t>证件类型</t>
    </r>
  </si>
  <si>
    <t>*身份证号码</t>
  </si>
  <si>
    <t>*性别</t>
  </si>
  <si>
    <t>*联系电话</t>
  </si>
  <si>
    <t>*是否残疾烈属孤老</t>
  </si>
  <si>
    <t>*是否股东、投资者</t>
  </si>
  <si>
    <t>入职日期</t>
  </si>
  <si>
    <t>离职日期</t>
  </si>
  <si>
    <t>*应发工资</t>
  </si>
  <si>
    <t>*本月专项扣除</t>
  </si>
  <si>
    <t>本月个人社保
代扣合计</t>
  </si>
  <si>
    <t>*本月专项附加扣除</t>
  </si>
  <si>
    <t>本月专项附加
扣除合计</t>
  </si>
  <si>
    <t>其他扣除</t>
  </si>
  <si>
    <t>计税月份数</t>
  </si>
  <si>
    <t>累计收入额</t>
  </si>
  <si>
    <t>累计减除费用</t>
  </si>
  <si>
    <t>累计专项扣除</t>
  </si>
  <si>
    <t>*累计专项附加扣除</t>
  </si>
  <si>
    <t>累计专项附加
扣除总额</t>
  </si>
  <si>
    <t>累计其他扣除</t>
  </si>
  <si>
    <t>累计预扣预缴应纳税所得额</t>
  </si>
  <si>
    <t>累计应预扣预缴税额</t>
  </si>
  <si>
    <t>累计已扣缴税额</t>
  </si>
  <si>
    <t>本次应扣税额</t>
  </si>
  <si>
    <t>净工资</t>
  </si>
  <si>
    <t>其他税后调整</t>
  </si>
  <si>
    <t>实发工资</t>
  </si>
  <si>
    <t>服务费</t>
  </si>
  <si>
    <t>企业应
支付费用
合计</t>
  </si>
  <si>
    <t>工资账号省份</t>
  </si>
  <si>
    <t>工资账号地市</t>
  </si>
  <si>
    <t>银行帐号</t>
  </si>
  <si>
    <t>开户银行全称</t>
  </si>
  <si>
    <t>开户行</t>
  </si>
  <si>
    <t>身份证号码验证</t>
  </si>
  <si>
    <t>身份证查重验证</t>
  </si>
  <si>
    <t>银行卡查重验证</t>
  </si>
  <si>
    <t>养老个人</t>
  </si>
  <si>
    <t>医疗个人</t>
  </si>
  <si>
    <t>失业个人</t>
  </si>
  <si>
    <t>公积金个人</t>
  </si>
  <si>
    <t>社保其他费用</t>
  </si>
  <si>
    <t>子女教育</t>
  </si>
  <si>
    <t>赡养老人</t>
  </si>
  <si>
    <t>住房贷款利息</t>
  </si>
  <si>
    <t>住房租金</t>
  </si>
  <si>
    <t>继续教育</t>
  </si>
  <si>
    <t>大病医疗</t>
  </si>
  <si>
    <t>创联致信202103</t>
  </si>
  <si>
    <t>张忠强</t>
  </si>
  <si>
    <t>身份证</t>
  </si>
  <si>
    <t>142732198106205214</t>
  </si>
  <si>
    <t>否</t>
  </si>
  <si>
    <t>蔡建</t>
  </si>
  <si>
    <t>659001198208253237</t>
  </si>
  <si>
    <t>鲍爽</t>
  </si>
  <si>
    <t>659001198306093214</t>
  </si>
  <si>
    <t>韩健</t>
  </si>
  <si>
    <t>150124198202261918</t>
  </si>
  <si>
    <t>翟东冉</t>
  </si>
  <si>
    <t>150428198212055116</t>
  </si>
  <si>
    <t>刘建军</t>
  </si>
  <si>
    <t>110104197708012014</t>
  </si>
  <si>
    <t>张西芳</t>
  </si>
  <si>
    <t>413026196707110706</t>
  </si>
  <si>
    <t>孟天骄</t>
  </si>
  <si>
    <t>110229199211290010</t>
  </si>
  <si>
    <t>徐俊峰</t>
  </si>
  <si>
    <t>650103198110035514</t>
  </si>
  <si>
    <t>张超</t>
  </si>
  <si>
    <t>370882198203051210</t>
  </si>
  <si>
    <t>陈敬康</t>
  </si>
  <si>
    <t>511302199603100715</t>
  </si>
  <si>
    <t>杨霞</t>
  </si>
  <si>
    <t>659001197502105425</t>
  </si>
  <si>
    <t>王琪</t>
  </si>
  <si>
    <t>130982198304028416</t>
  </si>
  <si>
    <t>李忠建</t>
  </si>
  <si>
    <t>342622198912235812</t>
  </si>
  <si>
    <t>柴永强</t>
  </si>
  <si>
    <t>142623199109272618</t>
  </si>
  <si>
    <t>崔晓成</t>
  </si>
  <si>
    <t>410426199608301518</t>
  </si>
  <si>
    <t>高宏博</t>
  </si>
  <si>
    <t>411303199610031837</t>
  </si>
  <si>
    <t>刘朋林</t>
  </si>
  <si>
    <t>15020419941231121X</t>
  </si>
  <si>
    <t>刘媛媛</t>
  </si>
  <si>
    <t>152105198908150622</t>
  </si>
  <si>
    <t>王彦群</t>
  </si>
  <si>
    <t>140428198110217215</t>
  </si>
  <si>
    <t>合计</t>
  </si>
  <si>
    <t>个税</t>
  </si>
  <si>
    <t>总计</t>
  </si>
  <si>
    <t>注：</t>
  </si>
  <si>
    <t>填表说明：</t>
  </si>
  <si>
    <t>1，表头字体为红色项目为客户单位必填项。</t>
  </si>
  <si>
    <t>2，表格内标注兰色底色的项目为客户单位填项,建议根据当月社保预收账单数据填写。</t>
  </si>
  <si>
    <t>3，请客户单位注意各项目上是否有批注，批注内的内容需重视。</t>
  </si>
  <si>
    <t>4，表格单元格内大部分都有函数公式，请客户负责人不要随意更改，避免引起数据错误。</t>
  </si>
  <si>
    <t>5，若社保个人缴纳部分已在社保账单内收取，则工资账单内的社保个人部分不计入企业支付费用中。</t>
  </si>
  <si>
    <t>计算说明：</t>
  </si>
  <si>
    <t>1，累计预扣预缴应纳税所得额=累计收入-累计免税收入-累计减除费用-累计专项扣除-累计专项附加扣除-累计依法确定的其他扣除</t>
  </si>
  <si>
    <t>2，本期应预扣预缴税额=（累计预扣预缴应纳税所得额*预扣率-速算扣除数）-累计减免税额-累计已预扣预缴税额</t>
  </si>
  <si>
    <r>
      <rPr>
        <sz val="10"/>
        <color rgb="FFFF0000"/>
        <rFont val="Arial Unicode MS"/>
        <charset val="134"/>
      </rPr>
      <t>*</t>
    </r>
    <r>
      <rPr>
        <sz val="10"/>
        <color rgb="FFFF0000"/>
        <rFont val="宋体"/>
        <charset val="134"/>
      </rPr>
      <t>客户简称</t>
    </r>
    <r>
      <rPr>
        <sz val="10"/>
        <color rgb="FFFF0000"/>
        <rFont val="Arial Unicode MS"/>
        <charset val="134"/>
      </rPr>
      <t>/</t>
    </r>
    <r>
      <rPr>
        <sz val="10"/>
        <color rgb="FFFF0000"/>
        <rFont val="宋体"/>
        <charset val="134"/>
      </rPr>
      <t>月份</t>
    </r>
  </si>
  <si>
    <r>
      <rPr>
        <sz val="10"/>
        <color rgb="FFFF0000"/>
        <rFont val="Arial Unicode MS"/>
        <charset val="134"/>
      </rPr>
      <t>*</t>
    </r>
    <r>
      <rPr>
        <sz val="10"/>
        <color rgb="FFFF0000"/>
        <rFont val="宋体"/>
        <charset val="134"/>
      </rPr>
      <t>劳务费</t>
    </r>
  </si>
  <si>
    <t>费用扣除标准</t>
  </si>
  <si>
    <t>应纳税所得额</t>
  </si>
  <si>
    <t>税率</t>
  </si>
  <si>
    <t>速算扣除数</t>
  </si>
  <si>
    <t>预扣预缴个税</t>
  </si>
  <si>
    <t>脱普上海/1901月</t>
  </si>
  <si>
    <t>张三</t>
  </si>
  <si>
    <t>411326199108094415</t>
  </si>
  <si>
    <t>李四</t>
  </si>
  <si>
    <t>护照</t>
  </si>
  <si>
    <t>310226199001062034</t>
  </si>
  <si>
    <t>2，表格内标注蓝色底色的项目为客户单位填项,建议根据当月社保预收账单数据填写。</t>
  </si>
  <si>
    <r>
      <rPr>
        <sz val="9"/>
        <color rgb="FFFF0000"/>
        <rFont val="Arial"/>
        <charset val="134"/>
      </rPr>
      <t>1</t>
    </r>
    <r>
      <rPr>
        <sz val="9"/>
        <color rgb="FFFF0000"/>
        <rFont val="宋体"/>
        <charset val="134"/>
      </rPr>
      <t>，每次收入额不超过</t>
    </r>
    <r>
      <rPr>
        <sz val="9"/>
        <color rgb="FFFF0000"/>
        <rFont val="Arial"/>
        <charset val="134"/>
      </rPr>
      <t>4000</t>
    </r>
    <r>
      <rPr>
        <sz val="9"/>
        <color rgb="FFFF0000"/>
        <rFont val="宋体"/>
        <charset val="134"/>
      </rPr>
      <t>元，应纳个人所得税</t>
    </r>
    <r>
      <rPr>
        <sz val="9"/>
        <color rgb="FFFF0000"/>
        <rFont val="Arial"/>
        <charset val="134"/>
      </rPr>
      <t>=</t>
    </r>
    <r>
      <rPr>
        <sz val="9"/>
        <color rgb="FFFF0000"/>
        <rFont val="宋体"/>
        <charset val="134"/>
      </rPr>
      <t>（收入额</t>
    </r>
    <r>
      <rPr>
        <sz val="9"/>
        <color rgb="FFFF0000"/>
        <rFont val="Arial"/>
        <charset val="134"/>
      </rPr>
      <t>-800</t>
    </r>
    <r>
      <rPr>
        <sz val="9"/>
        <color rgb="FFFF0000"/>
        <rFont val="宋体"/>
        <charset val="134"/>
      </rPr>
      <t>）</t>
    </r>
    <r>
      <rPr>
        <sz val="9"/>
        <color rgb="FFFF0000"/>
        <rFont val="Arial"/>
        <charset val="134"/>
      </rPr>
      <t>*20%</t>
    </r>
  </si>
  <si>
    <r>
      <rPr>
        <sz val="9"/>
        <color rgb="FFFF0000"/>
        <rFont val="Arial"/>
        <charset val="134"/>
      </rPr>
      <t>2</t>
    </r>
    <r>
      <rPr>
        <sz val="9"/>
        <color rgb="FFFF0000"/>
        <rFont val="宋体"/>
        <charset val="134"/>
      </rPr>
      <t>，每次收入额超过</t>
    </r>
    <r>
      <rPr>
        <sz val="9"/>
        <color rgb="FFFF0000"/>
        <rFont val="Arial"/>
        <charset val="134"/>
      </rPr>
      <t>4000</t>
    </r>
    <r>
      <rPr>
        <sz val="9"/>
        <color rgb="FFFF0000"/>
        <rFont val="宋体"/>
        <charset val="134"/>
      </rPr>
      <t>元，应纳个人所得税</t>
    </r>
    <r>
      <rPr>
        <sz val="9"/>
        <color rgb="FFFF0000"/>
        <rFont val="Arial"/>
        <charset val="134"/>
      </rPr>
      <t>=</t>
    </r>
    <r>
      <rPr>
        <sz val="9"/>
        <color rgb="FFFF0000"/>
        <rFont val="宋体"/>
        <charset val="134"/>
      </rPr>
      <t>收入额</t>
    </r>
    <r>
      <rPr>
        <sz val="9"/>
        <color rgb="FFFF0000"/>
        <rFont val="Arial"/>
        <charset val="134"/>
      </rPr>
      <t>*</t>
    </r>
    <r>
      <rPr>
        <sz val="9"/>
        <color rgb="FFFF0000"/>
        <rFont val="宋体"/>
        <charset val="134"/>
      </rPr>
      <t>（</t>
    </r>
    <r>
      <rPr>
        <sz val="9"/>
        <color rgb="FFFF0000"/>
        <rFont val="Arial"/>
        <charset val="134"/>
      </rPr>
      <t>1-20%</t>
    </r>
    <r>
      <rPr>
        <sz val="9"/>
        <color rgb="FFFF0000"/>
        <rFont val="宋体"/>
        <charset val="134"/>
      </rPr>
      <t>）</t>
    </r>
    <r>
      <rPr>
        <sz val="9"/>
        <color rgb="FFFF0000"/>
        <rFont val="Arial"/>
        <charset val="134"/>
      </rPr>
      <t>*20%</t>
    </r>
  </si>
  <si>
    <r>
      <rPr>
        <sz val="9"/>
        <color rgb="FFFF0000"/>
        <rFont val="Arial"/>
        <charset val="134"/>
      </rPr>
      <t>3</t>
    </r>
    <r>
      <rPr>
        <sz val="9"/>
        <color rgb="FFFF0000"/>
        <rFont val="宋体"/>
        <charset val="134"/>
      </rPr>
      <t>，每次应纳税所得额超过</t>
    </r>
    <r>
      <rPr>
        <sz val="9"/>
        <color rgb="FFFF0000"/>
        <rFont val="Arial"/>
        <charset val="134"/>
      </rPr>
      <t>20000-50000</t>
    </r>
    <r>
      <rPr>
        <sz val="9"/>
        <color rgb="FFFF0000"/>
        <rFont val="宋体"/>
        <charset val="134"/>
      </rPr>
      <t>元的，应纳个人所得税</t>
    </r>
    <r>
      <rPr>
        <sz val="9"/>
        <color rgb="FFFF0000"/>
        <rFont val="Arial"/>
        <charset val="134"/>
      </rPr>
      <t>=</t>
    </r>
    <r>
      <rPr>
        <sz val="9"/>
        <color rgb="FFFF0000"/>
        <rFont val="宋体"/>
        <charset val="134"/>
      </rPr>
      <t>收入额</t>
    </r>
    <r>
      <rPr>
        <sz val="9"/>
        <color rgb="FFFF0000"/>
        <rFont val="Arial"/>
        <charset val="134"/>
      </rPr>
      <t>*</t>
    </r>
    <r>
      <rPr>
        <sz val="9"/>
        <color rgb="FFFF0000"/>
        <rFont val="宋体"/>
        <charset val="134"/>
      </rPr>
      <t>（</t>
    </r>
    <r>
      <rPr>
        <sz val="9"/>
        <color rgb="FFFF0000"/>
        <rFont val="Arial"/>
        <charset val="134"/>
      </rPr>
      <t>1-20%</t>
    </r>
    <r>
      <rPr>
        <sz val="9"/>
        <color rgb="FFFF0000"/>
        <rFont val="宋体"/>
        <charset val="134"/>
      </rPr>
      <t>）</t>
    </r>
    <r>
      <rPr>
        <sz val="9"/>
        <color rgb="FFFF0000"/>
        <rFont val="Arial"/>
        <charset val="134"/>
      </rPr>
      <t>*30%-2000</t>
    </r>
  </si>
  <si>
    <r>
      <rPr>
        <sz val="9"/>
        <color rgb="FFFF0000"/>
        <rFont val="Arial"/>
        <charset val="134"/>
      </rPr>
      <t>4</t>
    </r>
    <r>
      <rPr>
        <sz val="9"/>
        <color rgb="FFFF0000"/>
        <rFont val="宋体"/>
        <charset val="134"/>
      </rPr>
      <t>，每次应纳税所得额超过</t>
    </r>
    <r>
      <rPr>
        <sz val="9"/>
        <color rgb="FFFF0000"/>
        <rFont val="Arial"/>
        <charset val="134"/>
      </rPr>
      <t>50000</t>
    </r>
    <r>
      <rPr>
        <sz val="9"/>
        <color rgb="FFFF0000"/>
        <rFont val="宋体"/>
        <charset val="134"/>
      </rPr>
      <t>元以上的，应纳个人所得税</t>
    </r>
    <r>
      <rPr>
        <sz val="9"/>
        <color rgb="FFFF0000"/>
        <rFont val="Arial"/>
        <charset val="134"/>
      </rPr>
      <t>=</t>
    </r>
    <r>
      <rPr>
        <sz val="9"/>
        <color rgb="FFFF0000"/>
        <rFont val="宋体"/>
        <charset val="134"/>
      </rPr>
      <t>收入额</t>
    </r>
    <r>
      <rPr>
        <sz val="9"/>
        <color rgb="FFFF0000"/>
        <rFont val="Arial"/>
        <charset val="134"/>
      </rPr>
      <t>*</t>
    </r>
    <r>
      <rPr>
        <sz val="9"/>
        <color rgb="FFFF0000"/>
        <rFont val="宋体"/>
        <charset val="134"/>
      </rPr>
      <t>（</t>
    </r>
    <r>
      <rPr>
        <sz val="9"/>
        <color rgb="FFFF0000"/>
        <rFont val="Arial"/>
        <charset val="134"/>
      </rPr>
      <t>1-20%</t>
    </r>
    <r>
      <rPr>
        <sz val="9"/>
        <color rgb="FFFF0000"/>
        <rFont val="宋体"/>
        <charset val="134"/>
      </rPr>
      <t>）</t>
    </r>
    <r>
      <rPr>
        <sz val="9"/>
        <color rgb="FFFF0000"/>
        <rFont val="Arial"/>
        <charset val="134"/>
      </rPr>
      <t>*40%-7000</t>
    </r>
  </si>
  <si>
    <r>
      <rPr>
        <sz val="9"/>
        <color rgb="FFFF0000"/>
        <rFont val="Arial"/>
        <charset val="134"/>
      </rPr>
      <t>5</t>
    </r>
    <r>
      <rPr>
        <sz val="9"/>
        <color rgb="FFFF0000"/>
        <rFont val="宋体"/>
        <charset val="134"/>
      </rPr>
      <t>，劳务费计税方式：</t>
    </r>
    <r>
      <rPr>
        <sz val="9"/>
        <color rgb="FFFF0000"/>
        <rFont val="宋体"/>
        <charset val="134"/>
      </rPr>
      <t>劳务报酬所得应预扣预缴税额</t>
    </r>
    <r>
      <rPr>
        <sz val="9"/>
        <color rgb="FFFF0000"/>
        <rFont val="Arial"/>
        <charset val="134"/>
      </rPr>
      <t>=</t>
    </r>
    <r>
      <rPr>
        <sz val="9"/>
        <color rgb="FFFF0000"/>
        <rFont val="宋体"/>
        <charset val="134"/>
      </rPr>
      <t>预扣预缴应纳税所得额</t>
    </r>
    <r>
      <rPr>
        <sz val="9"/>
        <color rgb="FFFF0000"/>
        <rFont val="Arial"/>
        <charset val="134"/>
      </rPr>
      <t>*</t>
    </r>
    <r>
      <rPr>
        <sz val="9"/>
        <color rgb="FFFF0000"/>
        <rFont val="宋体"/>
        <charset val="134"/>
      </rPr>
      <t>预扣率</t>
    </r>
    <r>
      <rPr>
        <sz val="9"/>
        <color rgb="FFFF0000"/>
        <rFont val="Arial"/>
        <charset val="134"/>
      </rPr>
      <t>-</t>
    </r>
    <r>
      <rPr>
        <sz val="9"/>
        <color rgb="FFFF0000"/>
        <rFont val="宋体"/>
        <charset val="134"/>
      </rPr>
      <t>速算扣除数</t>
    </r>
  </si>
  <si>
    <t>费用扣除标准：</t>
  </si>
  <si>
    <t>1、不到4000元的，扣除费用800元：应纳税所得额=收入-800元</t>
  </si>
  <si>
    <t>2、收入超过4000元的，扣除20%的费用：应纳税所得额=收入*(1-20%)</t>
  </si>
  <si>
    <r>
      <rPr>
        <sz val="10"/>
        <color rgb="FFFF0000"/>
        <rFont val="Arial Unicode MS"/>
        <charset val="134"/>
      </rPr>
      <t>*</t>
    </r>
    <r>
      <rPr>
        <sz val="10"/>
        <color rgb="FFFF0000"/>
        <rFont val="宋体"/>
        <charset val="134"/>
      </rPr>
      <t>稿酬</t>
    </r>
  </si>
  <si>
    <t>1，不到4000元的，扣除费用800元：应纳税所得额=收入-800元</t>
  </si>
  <si>
    <t>2，收入超过4000元的，扣除20%的费用：应纳税所得额=收入*(1-20%)</t>
  </si>
  <si>
    <t>3，稿酬所得收入额减按70%计算：应纳税所得额=收入*（1-20）%*70%</t>
  </si>
  <si>
    <t>4，稿酬、特许权使用费所得应预扣预缴税额=预扣预缴应纳税所得额*20%</t>
  </si>
  <si>
    <r>
      <rPr>
        <sz val="10"/>
        <color rgb="FFFF0000"/>
        <rFont val="Arial Unicode MS"/>
        <charset val="134"/>
      </rPr>
      <t>*</t>
    </r>
    <r>
      <rPr>
        <sz val="10"/>
        <color rgb="FFFF0000"/>
        <rFont val="宋体"/>
        <charset val="134"/>
      </rPr>
      <t>特许权使用费</t>
    </r>
  </si>
  <si>
    <t>姓名</t>
  </si>
  <si>
    <t>证件类型</t>
  </si>
  <si>
    <t>身份证号码</t>
  </si>
  <si>
    <t>奖金总额</t>
  </si>
  <si>
    <t>应税奖金除以12</t>
  </si>
  <si>
    <t>税率(%)</t>
  </si>
  <si>
    <t>净奖金</t>
  </si>
  <si>
    <t>实发奖金</t>
  </si>
  <si>
    <t>18603754891</t>
  </si>
  <si>
    <t>上海</t>
  </si>
  <si>
    <t>123456789412563</t>
  </si>
  <si>
    <t>中国建设银行股份有限公司上海外冈支行</t>
  </si>
  <si>
    <t>建设银行</t>
  </si>
  <si>
    <t>1，规定：2021年12月31日前，并入当年综合所得，以全年一次性奖金收入除以12个月得到的数额，确定适用税率和速算扣除数，单独计算纳税</t>
  </si>
  <si>
    <r>
      <rPr>
        <sz val="9"/>
        <color rgb="FFFF0000"/>
        <rFont val="宋体"/>
        <charset val="134"/>
      </rPr>
      <t>2，</t>
    </r>
    <r>
      <rPr>
        <sz val="9"/>
        <color rgb="FFFF0000"/>
        <rFont val="宋体"/>
        <charset val="134"/>
      </rPr>
      <t>应纳税额＝全年一次性奖金收入×适用税率－速算扣除数</t>
    </r>
  </si>
  <si>
    <t>3，特别提示：居民取的的一次性奖金，也可以选择并入当年综合所得计算纳税</t>
  </si>
  <si>
    <t>*身份证件号码</t>
  </si>
  <si>
    <t>*国籍/地区</t>
  </si>
  <si>
    <t>*出生日期</t>
  </si>
  <si>
    <t>*任职受雇日期</t>
  </si>
  <si>
    <t>*出生国家(地区)</t>
  </si>
  <si>
    <t>*首次入境时间</t>
  </si>
  <si>
    <t>*预计离境时间</t>
  </si>
  <si>
    <t>*劳务费</t>
  </si>
  <si>
    <t>*稿酬</t>
  </si>
  <si>
    <t>*特许权使用费</t>
  </si>
  <si>
    <t>收入合计</t>
  </si>
  <si>
    <t>应税工资</t>
  </si>
  <si>
    <t>脱普/1901月</t>
  </si>
  <si>
    <t>台湾居民往来大陆通行证</t>
  </si>
  <si>
    <t>中国香港</t>
  </si>
  <si>
    <t>男</t>
  </si>
  <si>
    <t>1992-01-02</t>
  </si>
  <si>
    <t>6217001180002172206</t>
  </si>
  <si>
    <t>中国台湾</t>
  </si>
  <si>
    <t>外国护照</t>
  </si>
  <si>
    <t>德国</t>
  </si>
  <si>
    <t>1，劳务费、特许权使用费：应纳税所得额=收入*（1-20%）</t>
  </si>
  <si>
    <t>2，稿酬：应纳税所得额=收入*（1-20%）*70%</t>
  </si>
  <si>
    <r>
      <rPr>
        <sz val="9"/>
        <color rgb="FFFF0000"/>
        <rFont val="宋体"/>
        <charset val="134"/>
      </rPr>
      <t>3，综合所得计税方式：</t>
    </r>
    <r>
      <rPr>
        <sz val="9"/>
        <color rgb="FFFF0000"/>
        <rFont val="宋体"/>
        <charset val="134"/>
      </rPr>
      <t>应纳税额=应纳税所得额*税率-速算扣除数</t>
    </r>
  </si>
  <si>
    <t>非居民鉴定依据：</t>
  </si>
  <si>
    <t>一个纳税年度内在中国境内居住累计不满183天的个人，为非居民个人。</t>
  </si>
  <si>
    <t>个人所得税预扣率表一（居民个人工资、薪金预扣预缴适用）</t>
  </si>
  <si>
    <t>级数</t>
  </si>
  <si>
    <t>不超过36000元的</t>
  </si>
  <si>
    <t>超过36000元至144000元的部分</t>
  </si>
  <si>
    <t>超过144000元至300000元的部分</t>
  </si>
  <si>
    <t>超过300000元至420000元的部分</t>
  </si>
  <si>
    <t>超过420000元至660000元的部分</t>
  </si>
  <si>
    <t>超过660000元至960000元的部分</t>
  </si>
  <si>
    <t>超过960000元的部分</t>
  </si>
  <si>
    <t>个人所得税预扣率表二（居民个人劳务报酬预扣预缴适用）</t>
  </si>
  <si>
    <t>预扣预缴应纳税所得额</t>
  </si>
  <si>
    <t>不超过20000元的</t>
  </si>
  <si>
    <t>超过20000元至50000元的部分</t>
  </si>
  <si>
    <t>超过50000的部分</t>
  </si>
  <si>
    <t>个人所得税税率表三（非居民个人工资、薪金、劳务报酬、稿酬所得、特许权使用费所得适用）</t>
  </si>
  <si>
    <t>不超过3000元的</t>
  </si>
  <si>
    <t>超过3000元至12000元的部分</t>
  </si>
  <si>
    <t>超过12000元至25000元的部分</t>
  </si>
  <si>
    <t>超过25000元至35000元的部分</t>
  </si>
  <si>
    <t>超过35000元至55000元的部分</t>
  </si>
  <si>
    <t>超过55000元至80000元的部分</t>
  </si>
  <si>
    <t>超过80000元的部分</t>
  </si>
  <si>
    <t>按月换算后的综合所得税率表（年终奖适用2019.1.1-2021-12.31）</t>
  </si>
  <si>
    <t>全月应纳税所得额</t>
  </si>
  <si>
    <t>税率（%）</t>
  </si>
</sst>
</file>

<file path=xl/styles.xml><?xml version="1.0" encoding="utf-8"?>
<styleSheet xmlns="http://schemas.openxmlformats.org/spreadsheetml/2006/main">
  <numFmts count="13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#,##0_);[Red]\(#,##0\)"/>
    <numFmt numFmtId="177" formatCode="0_);[Red]\(0\)"/>
    <numFmt numFmtId="178" formatCode="0.00_ "/>
    <numFmt numFmtId="179" formatCode="_ * #,##0.00_ ;_ * \-#,##0.00_ ;_ * \-??_ ;_ @_ "/>
    <numFmt numFmtId="180" formatCode="0.00_);[Red]\(0.00\)"/>
    <numFmt numFmtId="181" formatCode="#,##0.00_);[Red]\(#,##0.00\)"/>
    <numFmt numFmtId="182" formatCode="0.0_);[Red]\(0.0\)"/>
    <numFmt numFmtId="183" formatCode="[$-804]yyyy/m/d"/>
    <numFmt numFmtId="184" formatCode="0.00_ ;[Red]\-0.00\ "/>
    <numFmt numFmtId="185" formatCode="0.00_);\(0.00\)"/>
  </numFmts>
  <fonts count="72">
    <font>
      <sz val="11"/>
      <color rgb="FF000000"/>
      <name val="宋体"/>
      <charset val="134"/>
    </font>
    <font>
      <sz val="18"/>
      <color rgb="FF000000"/>
      <name val="黑体"/>
      <charset val="134"/>
    </font>
    <font>
      <sz val="16"/>
      <color rgb="FF000000"/>
      <name val="仿宋_GB2312"/>
      <charset val="134"/>
    </font>
    <font>
      <b/>
      <sz val="12"/>
      <color rgb="FF000000"/>
      <name val="宋体"/>
      <charset val="134"/>
    </font>
    <font>
      <b/>
      <sz val="12"/>
      <color rgb="FF2C2C2C"/>
      <name val="宋体"/>
      <charset val="134"/>
    </font>
    <font>
      <b/>
      <sz val="10"/>
      <color rgb="FF000000"/>
      <name val="宋体"/>
      <charset val="134"/>
    </font>
    <font>
      <b/>
      <sz val="10"/>
      <color rgb="FFFF0000"/>
      <name val="宋体"/>
      <charset val="134"/>
    </font>
    <font>
      <b/>
      <sz val="10"/>
      <name val="宋体"/>
      <charset val="134"/>
    </font>
    <font>
      <b/>
      <sz val="10"/>
      <color rgb="FFFF0000"/>
      <name val="Arial Unicode MS"/>
      <charset val="134"/>
    </font>
    <font>
      <sz val="10"/>
      <color rgb="FF000000"/>
      <name val="宋体"/>
      <charset val="134"/>
    </font>
    <font>
      <sz val="10"/>
      <name val="宋体"/>
      <charset val="134"/>
    </font>
    <font>
      <b/>
      <sz val="9"/>
      <color rgb="FFFF0000"/>
      <name val="宋体"/>
      <charset val="134"/>
    </font>
    <font>
      <b/>
      <sz val="9"/>
      <color rgb="FF000000"/>
      <name val="宋体"/>
      <charset val="134"/>
    </font>
    <font>
      <sz val="9"/>
      <color rgb="FF000000"/>
      <name val="宋体"/>
      <charset val="134"/>
    </font>
    <font>
      <sz val="9"/>
      <color rgb="FFFF0000"/>
      <name val="宋体"/>
      <charset val="134"/>
    </font>
    <font>
      <b/>
      <sz val="10"/>
      <color rgb="FF000000"/>
      <name val="Arial Unicode MS"/>
      <charset val="134"/>
    </font>
    <font>
      <b/>
      <sz val="12"/>
      <color rgb="FFFF0000"/>
      <name val="宋体"/>
      <charset val="134"/>
    </font>
    <font>
      <sz val="12"/>
      <name val="宋体"/>
      <charset val="134"/>
    </font>
    <font>
      <b/>
      <sz val="11"/>
      <color rgb="FF000000"/>
      <name val="宋体"/>
      <charset val="134"/>
    </font>
    <font>
      <b/>
      <sz val="9"/>
      <name val="宋体"/>
      <charset val="134"/>
    </font>
    <font>
      <sz val="9"/>
      <color rgb="FFFF0000"/>
      <name val="Arial"/>
      <charset val="134"/>
    </font>
    <font>
      <sz val="10"/>
      <color theme="1"/>
      <name val="宋体"/>
      <charset val="134"/>
    </font>
    <font>
      <sz val="9"/>
      <name val="宋体"/>
      <charset val="134"/>
    </font>
    <font>
      <sz val="10"/>
      <name val="宋体"/>
      <charset val="134"/>
      <scheme val="minor"/>
    </font>
    <font>
      <sz val="9"/>
      <color indexed="8"/>
      <name val="宋体"/>
      <charset val="134"/>
    </font>
    <font>
      <sz val="10"/>
      <color indexed="8"/>
      <name val="宋体"/>
      <charset val="134"/>
    </font>
    <font>
      <sz val="11"/>
      <color rgb="FFFFFFFF"/>
      <name val="宋体"/>
      <charset val="134"/>
    </font>
    <font>
      <sz val="11"/>
      <color rgb="FFFF0000"/>
      <name val="宋体"/>
      <charset val="134"/>
    </font>
    <font>
      <b/>
      <sz val="18"/>
      <color rgb="FF003366"/>
      <name val="宋体"/>
      <charset val="134"/>
    </font>
    <font>
      <sz val="10"/>
      <name val="Arial"/>
      <charset val="134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800080"/>
      <name val="宋体"/>
      <charset val="134"/>
    </font>
    <font>
      <b/>
      <sz val="11"/>
      <color rgb="FF333333"/>
      <name val="宋体"/>
      <charset val="134"/>
    </font>
    <font>
      <sz val="11"/>
      <color rgb="FFFF9900"/>
      <name val="宋体"/>
      <charset val="134"/>
    </font>
    <font>
      <sz val="11"/>
      <color rgb="FF993300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rgb="FF333399"/>
      <name val="宋体"/>
      <charset val="134"/>
    </font>
    <font>
      <sz val="11"/>
      <color theme="1"/>
      <name val="宋体"/>
      <charset val="134"/>
      <scheme val="minor"/>
    </font>
    <font>
      <sz val="10"/>
      <name val="Geneva"/>
      <charset val="134"/>
    </font>
    <font>
      <b/>
      <sz val="13"/>
      <color rgb="FF003366"/>
      <name val="宋体"/>
      <charset val="134"/>
    </font>
    <font>
      <b/>
      <sz val="11"/>
      <color rgb="FFFFFFFF"/>
      <name val="宋体"/>
      <charset val="0"/>
      <scheme val="minor"/>
    </font>
    <font>
      <b/>
      <sz val="11"/>
      <color rgb="FFFF9900"/>
      <name val="宋体"/>
      <charset val="134"/>
    </font>
    <font>
      <sz val="11"/>
      <color rgb="FF9C0006"/>
      <name val="宋体"/>
      <charset val="0"/>
      <scheme val="minor"/>
    </font>
    <font>
      <i/>
      <sz val="11"/>
      <color rgb="FF808080"/>
      <name val="宋体"/>
      <charset val="134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134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8000"/>
      <name val="宋体"/>
      <charset val="134"/>
    </font>
    <font>
      <b/>
      <sz val="11"/>
      <color rgb="FF003366"/>
      <name val="宋体"/>
      <charset val="134"/>
    </font>
    <font>
      <sz val="10"/>
      <color rgb="FF000000"/>
      <name val="Arial"/>
      <charset val="134"/>
    </font>
    <font>
      <sz val="12"/>
      <color rgb="FF000000"/>
      <name val="Verdana"/>
      <charset val="134"/>
    </font>
    <font>
      <sz val="12"/>
      <name val="Times New Roman"/>
      <charset val="134"/>
    </font>
    <font>
      <b/>
      <sz val="15"/>
      <color rgb="FF003366"/>
      <name val="宋体"/>
      <charset val="134"/>
    </font>
    <font>
      <sz val="10"/>
      <color rgb="FFFF0000"/>
      <name val="宋体"/>
      <charset val="134"/>
    </font>
    <font>
      <sz val="10"/>
      <color rgb="FFFF0000"/>
      <name val="Arial Unicode MS"/>
      <charset val="134"/>
    </font>
    <font>
      <sz val="9"/>
      <color rgb="FF000000"/>
      <name val="宋体"/>
      <charset val="134"/>
    </font>
    <font>
      <b/>
      <sz val="9"/>
      <name val="宋体"/>
      <charset val="134"/>
    </font>
    <font>
      <sz val="9"/>
      <name val="Tahoma"/>
      <charset val="134"/>
    </font>
    <font>
      <sz val="9"/>
      <name val="宋体"/>
      <charset val="134"/>
    </font>
  </fonts>
  <fills count="66">
    <fill>
      <patternFill patternType="none"/>
    </fill>
    <fill>
      <patternFill patternType="gray125"/>
    </fill>
    <fill>
      <patternFill patternType="solid">
        <fgColor rgb="FFA6A6A6"/>
        <bgColor rgb="FF969696"/>
      </patternFill>
    </fill>
    <fill>
      <patternFill patternType="solid">
        <fgColor rgb="FFFFFF00"/>
        <bgColor rgb="FFFFCC00"/>
      </patternFill>
    </fill>
    <fill>
      <patternFill patternType="solid">
        <fgColor rgb="FF92D050"/>
        <bgColor rgb="FFA6A6A6"/>
      </patternFill>
    </fill>
    <fill>
      <patternFill patternType="solid">
        <fgColor rgb="FFDBEEF3"/>
        <bgColor rgb="FFDBEEF4"/>
      </patternFill>
    </fill>
    <fill>
      <patternFill patternType="solid">
        <fgColor rgb="FFDBEEF4"/>
        <bgColor rgb="FFDBEEF3"/>
      </patternFill>
    </fill>
    <fill>
      <patternFill patternType="solid">
        <fgColor rgb="FFFFFFFF"/>
        <bgColor rgb="FFFFFFCC"/>
      </patternFill>
    </fill>
    <fill>
      <patternFill patternType="solid">
        <fgColor rgb="FFFFFF00"/>
        <b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9" tint="-0.2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CC"/>
        <bgColor rgb="FFFFFFFF"/>
      </patternFill>
    </fill>
    <fill>
      <patternFill patternType="solid">
        <fgColor rgb="FFFF6600"/>
        <bgColor rgb="FFFF9900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99CC"/>
        <bgColor rgb="FFFF8080"/>
      </patternFill>
    </fill>
    <fill>
      <patternFill patternType="solid">
        <fgColor rgb="FFFF0000"/>
        <bgColor rgb="FF9C0006"/>
      </patternFill>
    </fill>
    <fill>
      <patternFill patternType="solid">
        <fgColor rgb="FFC0C0C0"/>
        <bgColor rgb="FFCCCCFF"/>
      </patternFill>
    </fill>
    <fill>
      <patternFill patternType="solid">
        <fgColor rgb="FFCCCCFF"/>
        <bgColor rgb="FFB7DEE8"/>
      </patternFill>
    </fill>
    <fill>
      <patternFill patternType="solid">
        <fgColor rgb="FF339966"/>
        <bgColor rgb="FF00B050"/>
      </patternFill>
    </fill>
    <fill>
      <patternFill patternType="solid">
        <fgColor rgb="FFFFFF99"/>
        <bgColor rgb="FFFFFFCC"/>
      </patternFill>
    </fill>
    <fill>
      <patternFill patternType="solid">
        <fgColor rgb="FFFFCC99"/>
        <bgColor rgb="FFFFC7CE"/>
      </patternFill>
    </fill>
    <fill>
      <patternFill patternType="solid">
        <fgColor rgb="FFFFCC00"/>
        <bgColor rgb="FFFFFF00"/>
      </patternFill>
    </fill>
    <fill>
      <patternFill patternType="solid">
        <fgColor rgb="FFFF9900"/>
        <bgColor rgb="FFFFCC00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33CCCC"/>
        <bgColor rgb="FF00FFFF"/>
      </patternFill>
    </fill>
    <fill>
      <patternFill patternType="solid">
        <fgColor rgb="FF333399"/>
        <bgColor rgb="FF003366"/>
      </patternFill>
    </fill>
    <fill>
      <patternFill patternType="solid">
        <fgColor rgb="FFCC99FF"/>
        <bgColor rgb="FFFF99CC"/>
      </patternFill>
    </fill>
    <fill>
      <patternFill patternType="solid">
        <fgColor rgb="FF800080"/>
        <bgColor rgb="FF800080"/>
      </patternFill>
    </fill>
    <fill>
      <patternFill patternType="solid">
        <fgColor rgb="FFFF8080"/>
        <bgColor rgb="FFFF99CC"/>
      </patternFill>
    </fill>
    <fill>
      <patternFill patternType="solid">
        <fgColor rgb="FFF2F2F2"/>
        <bgColor indexed="64"/>
      </patternFill>
    </fill>
    <fill>
      <patternFill patternType="solid">
        <fgColor rgb="FF969696"/>
        <bgColor rgb="FFA6A6A6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CCFFCC"/>
        <bgColor rgb="FFCCFFFF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00FF00"/>
        <bgColor rgb="FF00B050"/>
      </patternFill>
    </fill>
    <fill>
      <patternFill patternType="solid">
        <fgColor rgb="FF99CCFF"/>
        <bgColor rgb="FF8EB4E3"/>
      </patternFill>
    </fill>
    <fill>
      <patternFill patternType="solid">
        <fgColor rgb="FF0066CC"/>
        <bgColor rgb="FF008080"/>
      </patternFill>
    </fill>
    <fill>
      <patternFill patternType="solid">
        <fgColor rgb="FFCCFFFF"/>
        <bgColor rgb="FFDBEEF4"/>
      </patternFill>
    </fill>
  </fills>
  <borders count="3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/>
      <bottom style="double">
        <color rgb="FFFF990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C0C0C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rgb="FF0066CC"/>
      </bottom>
      <diagonal/>
    </border>
    <border>
      <left/>
      <right/>
      <top/>
      <bottom style="thick">
        <color rgb="FF333399"/>
      </bottom>
      <diagonal/>
    </border>
  </borders>
  <cellStyleXfs count="484">
    <xf numFmtId="0" fontId="0" fillId="0" borderId="0">
      <alignment vertical="center"/>
    </xf>
    <xf numFmtId="42" fontId="29" fillId="0" borderId="0" applyBorder="0" applyAlignment="0" applyProtection="0"/>
    <xf numFmtId="0" fontId="31" fillId="17" borderId="17" applyNumberFormat="0" applyAlignment="0" applyProtection="0">
      <alignment vertical="center"/>
    </xf>
    <xf numFmtId="0" fontId="26" fillId="20" borderId="0" applyBorder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5" fillId="0" borderId="19" applyProtection="0">
      <alignment vertical="center"/>
    </xf>
    <xf numFmtId="0" fontId="34" fillId="21" borderId="18" applyProtection="0">
      <alignment vertical="center"/>
    </xf>
    <xf numFmtId="0" fontId="35" fillId="0" borderId="19" applyProtection="0">
      <alignment vertical="center"/>
    </xf>
    <xf numFmtId="0" fontId="0" fillId="22" borderId="0" applyBorder="0" applyProtection="0">
      <alignment vertical="center"/>
    </xf>
    <xf numFmtId="44" fontId="29" fillId="0" borderId="0" applyBorder="0" applyAlignment="0" applyProtection="0"/>
    <xf numFmtId="0" fontId="36" fillId="24" borderId="0" applyBorder="0" applyProtection="0">
      <alignment vertical="center"/>
    </xf>
    <xf numFmtId="0" fontId="26" fillId="23" borderId="0" applyBorder="0" applyProtection="0">
      <alignment vertical="center"/>
    </xf>
    <xf numFmtId="0" fontId="0" fillId="26" borderId="0" applyBorder="0" applyProtection="0">
      <alignment vertical="center"/>
    </xf>
    <xf numFmtId="0" fontId="17" fillId="0" borderId="0"/>
    <xf numFmtId="41" fontId="29" fillId="0" borderId="0" applyBorder="0" applyAlignment="0" applyProtection="0"/>
    <xf numFmtId="0" fontId="0" fillId="0" borderId="0">
      <alignment vertical="center"/>
    </xf>
    <xf numFmtId="179" fontId="0" fillId="0" borderId="0" applyBorder="0" applyProtection="0">
      <alignment vertical="center"/>
    </xf>
    <xf numFmtId="0" fontId="17" fillId="0" borderId="0"/>
    <xf numFmtId="0" fontId="32" fillId="32" borderId="0" applyNumberFormat="0" applyBorder="0" applyAlignment="0" applyProtection="0">
      <alignment vertical="center"/>
    </xf>
    <xf numFmtId="0" fontId="43" fillId="21" borderId="2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26" fillId="27" borderId="0" applyBorder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4" fillId="21" borderId="18" applyProtection="0">
      <alignment vertical="center"/>
    </xf>
    <xf numFmtId="0" fontId="0" fillId="19" borderId="0" applyBorder="0" applyProtection="0">
      <alignment vertical="center"/>
    </xf>
    <xf numFmtId="9" fontId="29" fillId="0" borderId="0" applyBorder="0" applyAlignment="0" applyProtection="0"/>
    <xf numFmtId="0" fontId="0" fillId="19" borderId="0" applyBorder="0" applyProtection="0">
      <alignment vertical="center"/>
    </xf>
    <xf numFmtId="0" fontId="34" fillId="21" borderId="18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0" fillId="38" borderId="0" applyBorder="0" applyProtection="0">
      <alignment vertical="center"/>
    </xf>
    <xf numFmtId="0" fontId="26" fillId="40" borderId="0" applyBorder="0" applyProtection="0">
      <alignment vertical="center"/>
    </xf>
    <xf numFmtId="0" fontId="0" fillId="0" borderId="0">
      <alignment vertical="center"/>
    </xf>
    <xf numFmtId="0" fontId="39" fillId="28" borderId="21" applyNumberFormat="0" applyFont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45" fillId="0" borderId="0" applyBorder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0" fillId="14" borderId="15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26" fillId="40" borderId="0" applyBorder="0" applyProtection="0">
      <alignment vertical="center"/>
    </xf>
    <xf numFmtId="0" fontId="0" fillId="0" borderId="0">
      <alignment vertical="center"/>
    </xf>
    <xf numFmtId="0" fontId="26" fillId="37" borderId="0" applyBorder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9" fontId="0" fillId="0" borderId="0" applyBorder="0" applyProtection="0">
      <alignment vertical="center"/>
    </xf>
    <xf numFmtId="0" fontId="54" fillId="0" borderId="24" applyNumberFormat="0" applyFill="0" applyAlignment="0" applyProtection="0">
      <alignment vertical="center"/>
    </xf>
    <xf numFmtId="0" fontId="51" fillId="0" borderId="24" applyNumberFormat="0" applyFill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49" fillId="0" borderId="26" applyNumberFormat="0" applyFill="0" applyAlignment="0" applyProtection="0">
      <alignment vertical="center"/>
    </xf>
    <xf numFmtId="0" fontId="0" fillId="14" borderId="15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4" fillId="21" borderId="18" applyProtection="0">
      <alignment vertical="center"/>
    </xf>
    <xf numFmtId="0" fontId="56" fillId="41" borderId="28" applyNumberFormat="0" applyAlignment="0" applyProtection="0">
      <alignment vertical="center"/>
    </xf>
    <xf numFmtId="0" fontId="48" fillId="41" borderId="17" applyNumberFormat="0" applyAlignment="0" applyProtection="0">
      <alignment vertical="center"/>
    </xf>
    <xf numFmtId="0" fontId="0" fillId="38" borderId="0" applyBorder="0" applyProtection="0">
      <alignment vertical="center"/>
    </xf>
    <xf numFmtId="0" fontId="43" fillId="21" borderId="20" applyProtection="0">
      <alignment vertical="center"/>
    </xf>
    <xf numFmtId="0" fontId="42" fillId="31" borderId="23" applyNumberFormat="0" applyAlignment="0" applyProtection="0">
      <alignment vertical="center"/>
    </xf>
    <xf numFmtId="0" fontId="17" fillId="0" borderId="0">
      <alignment vertical="center"/>
    </xf>
    <xf numFmtId="0" fontId="32" fillId="29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0" fillId="14" borderId="15" applyProtection="0">
      <alignment vertical="center"/>
    </xf>
    <xf numFmtId="0" fontId="55" fillId="0" borderId="27" applyNumberFormat="0" applyFill="0" applyAlignment="0" applyProtection="0">
      <alignment vertical="center"/>
    </xf>
    <xf numFmtId="0" fontId="0" fillId="26" borderId="0" applyBorder="0" applyProtection="0">
      <alignment vertical="center"/>
    </xf>
    <xf numFmtId="0" fontId="26" fillId="39" borderId="0" applyBorder="0" applyProtection="0">
      <alignment vertical="center"/>
    </xf>
    <xf numFmtId="0" fontId="57" fillId="0" borderId="29" applyNumberFormat="0" applyFill="0" applyAlignment="0" applyProtection="0">
      <alignment vertical="center"/>
    </xf>
    <xf numFmtId="0" fontId="58" fillId="44" borderId="0" applyNumberFormat="0" applyBorder="0" applyAlignment="0" applyProtection="0">
      <alignment vertical="center"/>
    </xf>
    <xf numFmtId="0" fontId="0" fillId="45" borderId="0" applyBorder="0" applyProtection="0">
      <alignment vertical="center"/>
    </xf>
    <xf numFmtId="0" fontId="34" fillId="21" borderId="18" applyProtection="0">
      <alignment vertical="center"/>
    </xf>
    <xf numFmtId="0" fontId="59" fillId="46" borderId="0" applyNumberFormat="0" applyBorder="0" applyAlignment="0" applyProtection="0">
      <alignment vertical="center"/>
    </xf>
    <xf numFmtId="0" fontId="17" fillId="0" borderId="0">
      <alignment vertical="center"/>
    </xf>
    <xf numFmtId="0" fontId="34" fillId="21" borderId="18" applyProtection="0">
      <alignment vertical="center"/>
    </xf>
    <xf numFmtId="0" fontId="32" fillId="47" borderId="0" applyNumberFormat="0" applyBorder="0" applyAlignment="0" applyProtection="0">
      <alignment vertical="center"/>
    </xf>
    <xf numFmtId="0" fontId="53" fillId="42" borderId="25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0" fillId="14" borderId="15" applyProtection="0">
      <alignment vertical="center"/>
    </xf>
    <xf numFmtId="0" fontId="35" fillId="0" borderId="19" applyProtection="0">
      <alignment vertical="center"/>
    </xf>
    <xf numFmtId="0" fontId="32" fillId="49" borderId="0" applyNumberFormat="0" applyBorder="0" applyAlignment="0" applyProtection="0">
      <alignment vertical="center"/>
    </xf>
    <xf numFmtId="0" fontId="0" fillId="38" borderId="0" applyBorder="0" applyProtection="0">
      <alignment vertical="center"/>
    </xf>
    <xf numFmtId="0" fontId="29" fillId="0" borderId="0"/>
    <xf numFmtId="0" fontId="18" fillId="0" borderId="16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34" fillId="21" borderId="18" applyProtection="0">
      <alignment vertical="center"/>
    </xf>
    <xf numFmtId="0" fontId="35" fillId="0" borderId="19" applyProtection="0">
      <alignment vertical="center"/>
    </xf>
    <xf numFmtId="0" fontId="32" fillId="51" borderId="0" applyNumberFormat="0" applyBorder="0" applyAlignment="0" applyProtection="0">
      <alignment vertical="center"/>
    </xf>
    <xf numFmtId="0" fontId="32" fillId="52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18" fillId="0" borderId="16" applyProtection="0">
      <alignment vertical="center"/>
    </xf>
    <xf numFmtId="0" fontId="34" fillId="21" borderId="18" applyProtection="0">
      <alignment vertical="center"/>
    </xf>
    <xf numFmtId="0" fontId="32" fillId="55" borderId="0" applyNumberFormat="0" applyBorder="0" applyAlignment="0" applyProtection="0">
      <alignment vertical="center"/>
    </xf>
    <xf numFmtId="0" fontId="43" fillId="21" borderId="20" applyProtection="0">
      <alignment vertical="center"/>
    </xf>
    <xf numFmtId="0" fontId="32" fillId="56" borderId="0" applyNumberFormat="0" applyBorder="0" applyAlignment="0" applyProtection="0">
      <alignment vertical="center"/>
    </xf>
    <xf numFmtId="0" fontId="30" fillId="57" borderId="0" applyNumberFormat="0" applyBorder="0" applyAlignment="0" applyProtection="0">
      <alignment vertical="center"/>
    </xf>
    <xf numFmtId="0" fontId="43" fillId="21" borderId="2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0" fillId="14" borderId="15" applyProtection="0">
      <alignment vertical="center"/>
    </xf>
    <xf numFmtId="0" fontId="30" fillId="58" borderId="0" applyNumberFormat="0" applyBorder="0" applyAlignment="0" applyProtection="0">
      <alignment vertical="center"/>
    </xf>
    <xf numFmtId="0" fontId="30" fillId="59" borderId="0" applyNumberFormat="0" applyBorder="0" applyAlignment="0" applyProtection="0">
      <alignment vertical="center"/>
    </xf>
    <xf numFmtId="0" fontId="40" fillId="0" borderId="0"/>
    <xf numFmtId="0" fontId="0" fillId="45" borderId="0" applyBorder="0" applyProtection="0">
      <alignment vertical="center"/>
    </xf>
    <xf numFmtId="0" fontId="43" fillId="21" borderId="20" applyProtection="0">
      <alignment vertical="center"/>
    </xf>
    <xf numFmtId="0" fontId="34" fillId="21" borderId="18" applyProtection="0">
      <alignment vertical="center"/>
    </xf>
    <xf numFmtId="0" fontId="36" fillId="24" borderId="0" applyBorder="0" applyProtection="0">
      <alignment vertical="center"/>
    </xf>
    <xf numFmtId="0" fontId="32" fillId="60" borderId="0" applyNumberFormat="0" applyBorder="0" applyAlignment="0" applyProtection="0">
      <alignment vertical="center"/>
    </xf>
    <xf numFmtId="0" fontId="30" fillId="61" borderId="0" applyNumberFormat="0" applyBorder="0" applyAlignment="0" applyProtection="0">
      <alignment vertical="center"/>
    </xf>
    <xf numFmtId="0" fontId="0" fillId="22" borderId="0" applyBorder="0" applyProtection="0">
      <alignment vertical="center"/>
    </xf>
    <xf numFmtId="0" fontId="60" fillId="45" borderId="0" applyBorder="0" applyProtection="0">
      <alignment vertical="center"/>
    </xf>
    <xf numFmtId="0" fontId="0" fillId="19" borderId="0" applyBorder="0" applyProtection="0">
      <alignment vertical="center"/>
    </xf>
    <xf numFmtId="0" fontId="34" fillId="21" borderId="18" applyProtection="0">
      <alignment vertical="center"/>
    </xf>
    <xf numFmtId="0" fontId="0" fillId="22" borderId="0" applyBorder="0" applyProtection="0">
      <alignment vertical="center"/>
    </xf>
    <xf numFmtId="0" fontId="0" fillId="40" borderId="0" applyBorder="0" applyProtection="0">
      <alignment vertical="center"/>
    </xf>
    <xf numFmtId="0" fontId="29" fillId="0" borderId="0"/>
    <xf numFmtId="0" fontId="0" fillId="22" borderId="0" applyBorder="0" applyProtection="0">
      <alignment vertical="center"/>
    </xf>
    <xf numFmtId="0" fontId="17" fillId="0" borderId="0"/>
    <xf numFmtId="0" fontId="0" fillId="63" borderId="0" applyBorder="0" applyProtection="0">
      <alignment vertical="center"/>
    </xf>
    <xf numFmtId="0" fontId="38" fillId="25" borderId="20" applyProtection="0">
      <alignment vertical="center"/>
    </xf>
    <xf numFmtId="0" fontId="0" fillId="22" borderId="0" applyBorder="0" applyProtection="0">
      <alignment vertical="center"/>
    </xf>
    <xf numFmtId="0" fontId="0" fillId="22" borderId="0" applyBorder="0" applyProtection="0">
      <alignment vertical="center"/>
    </xf>
    <xf numFmtId="0" fontId="0" fillId="0" borderId="0"/>
    <xf numFmtId="0" fontId="0" fillId="22" borderId="0" applyBorder="0" applyProtection="0">
      <alignment vertical="center"/>
    </xf>
    <xf numFmtId="0" fontId="0" fillId="19" borderId="0" applyBorder="0" applyProtection="0">
      <alignment vertical="center"/>
    </xf>
    <xf numFmtId="0" fontId="34" fillId="21" borderId="18" applyProtection="0">
      <alignment vertical="center"/>
    </xf>
    <xf numFmtId="0" fontId="0" fillId="19" borderId="0" applyBorder="0" applyProtection="0">
      <alignment vertical="center"/>
    </xf>
    <xf numFmtId="0" fontId="34" fillId="21" borderId="18" applyProtection="0">
      <alignment vertical="center"/>
    </xf>
    <xf numFmtId="0" fontId="0" fillId="19" borderId="0" applyBorder="0" applyProtection="0">
      <alignment vertical="center"/>
    </xf>
    <xf numFmtId="0" fontId="34" fillId="21" borderId="18" applyProtection="0">
      <alignment vertical="center"/>
    </xf>
    <xf numFmtId="0" fontId="0" fillId="19" borderId="0" applyBorder="0" applyProtection="0">
      <alignment vertical="center"/>
    </xf>
    <xf numFmtId="0" fontId="34" fillId="21" borderId="18" applyProtection="0">
      <alignment vertical="center"/>
    </xf>
    <xf numFmtId="0" fontId="0" fillId="45" borderId="0" applyBorder="0" applyProtection="0">
      <alignment vertical="center"/>
    </xf>
    <xf numFmtId="0" fontId="34" fillId="21" borderId="18" applyProtection="0">
      <alignment vertical="center"/>
    </xf>
    <xf numFmtId="0" fontId="0" fillId="45" borderId="0" applyBorder="0" applyProtection="0">
      <alignment vertical="center"/>
    </xf>
    <xf numFmtId="0" fontId="34" fillId="21" borderId="18" applyProtection="0">
      <alignment vertical="center"/>
    </xf>
    <xf numFmtId="0" fontId="0" fillId="45" borderId="0" applyBorder="0" applyProtection="0">
      <alignment vertical="center"/>
    </xf>
    <xf numFmtId="0" fontId="34" fillId="21" borderId="18" applyProtection="0">
      <alignment vertical="center"/>
    </xf>
    <xf numFmtId="0" fontId="0" fillId="45" borderId="0" applyBorder="0" applyProtection="0">
      <alignment vertical="center"/>
    </xf>
    <xf numFmtId="0" fontId="26" fillId="64" borderId="0" applyBorder="0" applyProtection="0">
      <alignment vertical="center"/>
    </xf>
    <xf numFmtId="0" fontId="34" fillId="21" borderId="18" applyProtection="0">
      <alignment vertical="center"/>
    </xf>
    <xf numFmtId="0" fontId="0" fillId="45" borderId="0" applyBorder="0" applyProtection="0">
      <alignment vertical="center"/>
    </xf>
    <xf numFmtId="0" fontId="26" fillId="64" borderId="0" applyBorder="0" applyProtection="0">
      <alignment vertical="center"/>
    </xf>
    <xf numFmtId="0" fontId="0" fillId="38" borderId="0" applyBorder="0" applyProtection="0">
      <alignment vertical="center"/>
    </xf>
    <xf numFmtId="0" fontId="0" fillId="0" borderId="0">
      <alignment vertical="center"/>
    </xf>
    <xf numFmtId="0" fontId="34" fillId="21" borderId="18" applyProtection="0">
      <alignment vertical="center"/>
    </xf>
    <xf numFmtId="0" fontId="0" fillId="38" borderId="0" applyBorder="0" applyProtection="0">
      <alignment vertical="center"/>
    </xf>
    <xf numFmtId="0" fontId="0" fillId="0" borderId="0">
      <alignment vertical="center"/>
    </xf>
    <xf numFmtId="0" fontId="34" fillId="21" borderId="18" applyProtection="0">
      <alignment vertical="center"/>
    </xf>
    <xf numFmtId="0" fontId="0" fillId="38" borderId="0" applyBorder="0" applyProtection="0">
      <alignment vertical="center"/>
    </xf>
    <xf numFmtId="0" fontId="0" fillId="0" borderId="0">
      <alignment vertical="center"/>
    </xf>
    <xf numFmtId="0" fontId="38" fillId="25" borderId="20" applyProtection="0">
      <alignment vertical="center"/>
    </xf>
    <xf numFmtId="0" fontId="0" fillId="38" borderId="0" applyBorder="0" applyProtection="0">
      <alignment vertical="center"/>
    </xf>
    <xf numFmtId="0" fontId="0" fillId="0" borderId="0">
      <alignment vertical="center"/>
    </xf>
    <xf numFmtId="0" fontId="34" fillId="21" borderId="18" applyProtection="0">
      <alignment vertical="center"/>
    </xf>
    <xf numFmtId="0" fontId="0" fillId="38" borderId="0" applyBorder="0" applyProtection="0">
      <alignment vertical="center"/>
    </xf>
    <xf numFmtId="0" fontId="0" fillId="0" borderId="0">
      <alignment vertical="center"/>
    </xf>
    <xf numFmtId="0" fontId="0" fillId="38" borderId="0" applyBorder="0" applyProtection="0">
      <alignment vertical="center"/>
    </xf>
    <xf numFmtId="0" fontId="26" fillId="40" borderId="0" applyBorder="0" applyProtection="0">
      <alignment vertical="center"/>
    </xf>
    <xf numFmtId="0" fontId="0" fillId="0" borderId="0"/>
    <xf numFmtId="0" fontId="0" fillId="65" borderId="0" applyBorder="0" applyProtection="0">
      <alignment vertical="center"/>
    </xf>
    <xf numFmtId="0" fontId="34" fillId="21" borderId="18" applyProtection="0">
      <alignment vertical="center"/>
    </xf>
    <xf numFmtId="0" fontId="0" fillId="65" borderId="0" applyBorder="0" applyProtection="0">
      <alignment vertical="center"/>
    </xf>
    <xf numFmtId="0" fontId="17" fillId="0" borderId="0"/>
    <xf numFmtId="0" fontId="34" fillId="21" borderId="18" applyProtection="0">
      <alignment vertical="center"/>
    </xf>
    <xf numFmtId="0" fontId="0" fillId="65" borderId="0" applyBorder="0" applyProtection="0">
      <alignment vertical="center"/>
    </xf>
    <xf numFmtId="0" fontId="0" fillId="65" borderId="0" applyBorder="0" applyProtection="0">
      <alignment vertical="center"/>
    </xf>
    <xf numFmtId="0" fontId="34" fillId="21" borderId="18" applyProtection="0">
      <alignment vertical="center"/>
    </xf>
    <xf numFmtId="0" fontId="0" fillId="65" borderId="0" applyBorder="0" applyProtection="0">
      <alignment vertical="center"/>
    </xf>
    <xf numFmtId="0" fontId="33" fillId="19" borderId="0" applyBorder="0" applyProtection="0">
      <alignment vertical="center"/>
    </xf>
    <xf numFmtId="9" fontId="0" fillId="0" borderId="0" applyBorder="0" applyProtection="0">
      <alignment vertical="center"/>
    </xf>
    <xf numFmtId="0" fontId="0" fillId="65" borderId="0" applyBorder="0" applyProtection="0">
      <alignment vertical="center"/>
    </xf>
    <xf numFmtId="0" fontId="26" fillId="62" borderId="0" applyBorder="0" applyProtection="0">
      <alignment vertical="center"/>
    </xf>
    <xf numFmtId="0" fontId="0" fillId="65" borderId="0" applyBorder="0" applyProtection="0">
      <alignment vertical="center"/>
    </xf>
    <xf numFmtId="0" fontId="26" fillId="62" borderId="0" applyBorder="0" applyProtection="0">
      <alignment vertical="center"/>
    </xf>
    <xf numFmtId="0" fontId="0" fillId="25" borderId="0" applyBorder="0" applyProtection="0">
      <alignment vertical="center"/>
    </xf>
    <xf numFmtId="0" fontId="0" fillId="25" borderId="0" applyBorder="0" applyProtection="0">
      <alignment vertical="center"/>
    </xf>
    <xf numFmtId="0" fontId="0" fillId="38" borderId="0" applyBorder="0" applyProtection="0">
      <alignment vertical="center"/>
    </xf>
    <xf numFmtId="0" fontId="0" fillId="25" borderId="0" applyBorder="0" applyProtection="0">
      <alignment vertical="center"/>
    </xf>
    <xf numFmtId="0" fontId="0" fillId="38" borderId="0" applyBorder="0" applyProtection="0">
      <alignment vertical="center"/>
    </xf>
    <xf numFmtId="0" fontId="0" fillId="25" borderId="0" applyBorder="0" applyProtection="0">
      <alignment vertical="center"/>
    </xf>
    <xf numFmtId="0" fontId="0" fillId="25" borderId="0" applyBorder="0" applyProtection="0">
      <alignment vertical="center"/>
    </xf>
    <xf numFmtId="0" fontId="0" fillId="63" borderId="0" applyBorder="0" applyProtection="0">
      <alignment vertical="center"/>
    </xf>
    <xf numFmtId="0" fontId="0" fillId="25" borderId="0" applyBorder="0" applyProtection="0">
      <alignment vertical="center"/>
    </xf>
    <xf numFmtId="0" fontId="26" fillId="39" borderId="0" applyBorder="0" applyProtection="0">
      <alignment vertical="center"/>
    </xf>
    <xf numFmtId="0" fontId="0" fillId="14" borderId="15" applyProtection="0">
      <alignment vertical="center"/>
    </xf>
    <xf numFmtId="0" fontId="0" fillId="25" borderId="0" applyBorder="0" applyProtection="0">
      <alignment vertical="center"/>
    </xf>
    <xf numFmtId="0" fontId="0" fillId="63" borderId="0" applyBorder="0" applyProtection="0">
      <alignment vertical="center"/>
    </xf>
    <xf numFmtId="0" fontId="26" fillId="39" borderId="0" applyBorder="0" applyProtection="0">
      <alignment vertical="center"/>
    </xf>
    <xf numFmtId="0" fontId="0" fillId="63" borderId="0" applyBorder="0" applyProtection="0">
      <alignment vertical="center"/>
    </xf>
    <xf numFmtId="0" fontId="0" fillId="63" borderId="0" applyBorder="0" applyProtection="0">
      <alignment vertical="center"/>
    </xf>
    <xf numFmtId="0" fontId="0" fillId="63" borderId="0" applyBorder="0" applyProtection="0">
      <alignment vertical="center"/>
    </xf>
    <xf numFmtId="0" fontId="0" fillId="63" borderId="0" applyBorder="0" applyProtection="0">
      <alignment vertical="center"/>
    </xf>
    <xf numFmtId="0" fontId="0" fillId="63" borderId="0" applyBorder="0" applyProtection="0">
      <alignment vertical="center"/>
    </xf>
    <xf numFmtId="0" fontId="0" fillId="63" borderId="0" applyBorder="0" applyProtection="0">
      <alignment vertical="center"/>
    </xf>
    <xf numFmtId="0" fontId="0" fillId="63" borderId="0" applyBorder="0" applyProtection="0">
      <alignment vertical="center"/>
    </xf>
    <xf numFmtId="0" fontId="0" fillId="40" borderId="0" applyBorder="0" applyProtection="0">
      <alignment vertical="center"/>
    </xf>
    <xf numFmtId="0" fontId="0" fillId="40" borderId="0" applyBorder="0" applyProtection="0">
      <alignment vertical="center"/>
    </xf>
    <xf numFmtId="0" fontId="0" fillId="40" borderId="0" applyBorder="0" applyProtection="0">
      <alignment vertical="center"/>
    </xf>
    <xf numFmtId="0" fontId="0" fillId="40" borderId="0" applyBorder="0" applyProtection="0">
      <alignment vertical="center"/>
    </xf>
    <xf numFmtId="0" fontId="0" fillId="40" borderId="0" applyBorder="0" applyProtection="0">
      <alignment vertical="center"/>
    </xf>
    <xf numFmtId="0" fontId="0" fillId="40" borderId="0" applyBorder="0" applyProtection="0">
      <alignment vertical="center"/>
    </xf>
    <xf numFmtId="0" fontId="0" fillId="62" borderId="0" applyBorder="0" applyProtection="0">
      <alignment vertical="center"/>
    </xf>
    <xf numFmtId="0" fontId="43" fillId="21" borderId="20" applyProtection="0">
      <alignment vertical="center"/>
    </xf>
    <xf numFmtId="0" fontId="0" fillId="62" borderId="0" applyBorder="0" applyProtection="0">
      <alignment vertical="center"/>
    </xf>
    <xf numFmtId="0" fontId="43" fillId="21" borderId="20" applyProtection="0">
      <alignment vertical="center"/>
    </xf>
    <xf numFmtId="0" fontId="0" fillId="62" borderId="0" applyBorder="0" applyProtection="0">
      <alignment vertical="center"/>
    </xf>
    <xf numFmtId="0" fontId="0" fillId="62" borderId="0" applyBorder="0" applyProtection="0">
      <alignment vertical="center"/>
    </xf>
    <xf numFmtId="0" fontId="43" fillId="21" borderId="20" applyProtection="0">
      <alignment vertical="center"/>
    </xf>
    <xf numFmtId="0" fontId="0" fillId="62" borderId="0" applyBorder="0" applyProtection="0">
      <alignment vertical="center"/>
    </xf>
    <xf numFmtId="0" fontId="43" fillId="21" borderId="20" applyProtection="0">
      <alignment vertical="center"/>
    </xf>
    <xf numFmtId="0" fontId="0" fillId="62" borderId="0" applyBorder="0" applyProtection="0">
      <alignment vertical="center"/>
    </xf>
    <xf numFmtId="0" fontId="43" fillId="21" borderId="20" applyProtection="0">
      <alignment vertical="center"/>
    </xf>
    <xf numFmtId="0" fontId="0" fillId="62" borderId="0" applyBorder="0" applyProtection="0">
      <alignment vertical="center"/>
    </xf>
    <xf numFmtId="0" fontId="0" fillId="38" borderId="0" applyBorder="0" applyProtection="0">
      <alignment vertical="center"/>
    </xf>
    <xf numFmtId="0" fontId="61" fillId="0" borderId="0" applyBorder="0" applyProtection="0">
      <alignment vertical="center"/>
    </xf>
    <xf numFmtId="0" fontId="53" fillId="42" borderId="25" applyProtection="0">
      <alignment vertical="center"/>
    </xf>
    <xf numFmtId="0" fontId="18" fillId="0" borderId="16" applyProtection="0">
      <alignment vertical="center"/>
    </xf>
    <xf numFmtId="0" fontId="43" fillId="21" borderId="20" applyProtection="0">
      <alignment vertical="center"/>
    </xf>
    <xf numFmtId="0" fontId="0" fillId="38" borderId="0" applyBorder="0" applyProtection="0">
      <alignment vertical="center"/>
    </xf>
    <xf numFmtId="0" fontId="61" fillId="0" borderId="0" applyBorder="0" applyProtection="0">
      <alignment vertical="center"/>
    </xf>
    <xf numFmtId="0" fontId="53" fillId="42" borderId="25" applyProtection="0">
      <alignment vertical="center"/>
    </xf>
    <xf numFmtId="0" fontId="18" fillId="0" borderId="16" applyProtection="0">
      <alignment vertical="center"/>
    </xf>
    <xf numFmtId="0" fontId="0" fillId="38" borderId="0" applyBorder="0" applyProtection="0">
      <alignment vertical="center"/>
    </xf>
    <xf numFmtId="0" fontId="43" fillId="21" borderId="20" applyProtection="0">
      <alignment vertical="center"/>
    </xf>
    <xf numFmtId="0" fontId="38" fillId="25" borderId="20" applyProtection="0">
      <alignment vertical="center"/>
    </xf>
    <xf numFmtId="0" fontId="0" fillId="63" borderId="0" applyBorder="0" applyProtection="0">
      <alignment vertical="center"/>
    </xf>
    <xf numFmtId="0" fontId="60" fillId="45" borderId="0" applyBorder="0" applyProtection="0">
      <alignment vertical="center"/>
    </xf>
    <xf numFmtId="0" fontId="43" fillId="21" borderId="20" applyProtection="0">
      <alignment vertical="center"/>
    </xf>
    <xf numFmtId="0" fontId="0" fillId="63" borderId="0" applyBorder="0" applyProtection="0">
      <alignment vertical="center"/>
    </xf>
    <xf numFmtId="0" fontId="26" fillId="39" borderId="0" applyBorder="0" applyProtection="0">
      <alignment vertical="center"/>
    </xf>
    <xf numFmtId="0" fontId="0" fillId="63" borderId="0" applyBorder="0" applyProtection="0">
      <alignment vertical="center"/>
    </xf>
    <xf numFmtId="0" fontId="26" fillId="36" borderId="0" applyBorder="0" applyProtection="0">
      <alignment vertical="center"/>
    </xf>
    <xf numFmtId="0" fontId="0" fillId="63" borderId="0" applyBorder="0" applyProtection="0">
      <alignment vertical="center"/>
    </xf>
    <xf numFmtId="0" fontId="0" fillId="26" borderId="0" applyBorder="0" applyProtection="0">
      <alignment vertical="center"/>
    </xf>
    <xf numFmtId="0" fontId="43" fillId="21" borderId="20" applyProtection="0">
      <alignment vertical="center"/>
    </xf>
    <xf numFmtId="0" fontId="36" fillId="24" borderId="0" applyBorder="0" applyProtection="0">
      <alignment vertical="center"/>
    </xf>
    <xf numFmtId="0" fontId="0" fillId="26" borderId="0" applyBorder="0" applyProtection="0">
      <alignment vertical="center"/>
    </xf>
    <xf numFmtId="0" fontId="0" fillId="26" borderId="0" applyBorder="0" applyProtection="0">
      <alignment vertical="center"/>
    </xf>
    <xf numFmtId="0" fontId="0" fillId="26" borderId="0" applyBorder="0" applyProtection="0">
      <alignment vertical="center"/>
    </xf>
    <xf numFmtId="0" fontId="45" fillId="0" borderId="0" applyBorder="0" applyProtection="0">
      <alignment vertical="center"/>
    </xf>
    <xf numFmtId="0" fontId="0" fillId="26" borderId="0" applyBorder="0" applyProtection="0">
      <alignment vertical="center"/>
    </xf>
    <xf numFmtId="0" fontId="26" fillId="39" borderId="0" applyBorder="0" applyProtection="0">
      <alignment vertical="center"/>
    </xf>
    <xf numFmtId="0" fontId="26" fillId="23" borderId="0" applyBorder="0" applyProtection="0">
      <alignment vertical="center"/>
    </xf>
    <xf numFmtId="0" fontId="26" fillId="64" borderId="0" applyBorder="0" applyProtection="0">
      <alignment vertical="center"/>
    </xf>
    <xf numFmtId="0" fontId="26" fillId="64" borderId="0" applyBorder="0" applyProtection="0">
      <alignment vertical="center"/>
    </xf>
    <xf numFmtId="0" fontId="26" fillId="64" borderId="0" applyBorder="0" applyProtection="0">
      <alignment vertical="center"/>
    </xf>
    <xf numFmtId="0" fontId="26" fillId="64" borderId="0" applyBorder="0" applyProtection="0">
      <alignment vertical="center"/>
    </xf>
    <xf numFmtId="0" fontId="26" fillId="64" borderId="0" applyBorder="0" applyProtection="0">
      <alignment vertical="center"/>
    </xf>
    <xf numFmtId="0" fontId="0" fillId="14" borderId="15" applyProtection="0">
      <alignment vertical="center"/>
    </xf>
    <xf numFmtId="0" fontId="27" fillId="0" borderId="0" applyBorder="0" applyProtection="0">
      <alignment vertical="center"/>
    </xf>
    <xf numFmtId="0" fontId="26" fillId="40" borderId="0" applyBorder="0" applyProtection="0">
      <alignment vertical="center"/>
    </xf>
    <xf numFmtId="0" fontId="26" fillId="40" borderId="0" applyBorder="0" applyProtection="0">
      <alignment vertical="center"/>
    </xf>
    <xf numFmtId="0" fontId="0" fillId="0" borderId="0">
      <alignment vertical="center"/>
    </xf>
    <xf numFmtId="0" fontId="0" fillId="14" borderId="15" applyProtection="0">
      <alignment vertical="center"/>
    </xf>
    <xf numFmtId="0" fontId="26" fillId="40" borderId="0" applyBorder="0" applyProtection="0">
      <alignment vertical="center"/>
    </xf>
    <xf numFmtId="0" fontId="0" fillId="0" borderId="0">
      <alignment vertical="center"/>
    </xf>
    <xf numFmtId="0" fontId="26" fillId="40" borderId="0" applyBorder="0" applyProtection="0">
      <alignment vertical="center"/>
    </xf>
    <xf numFmtId="0" fontId="17" fillId="0" borderId="0">
      <alignment vertical="center"/>
    </xf>
    <xf numFmtId="0" fontId="27" fillId="0" borderId="0" applyBorder="0" applyProtection="0">
      <alignment vertical="center"/>
    </xf>
    <xf numFmtId="0" fontId="26" fillId="62" borderId="0" applyBorder="0" applyProtection="0">
      <alignment vertical="center"/>
    </xf>
    <xf numFmtId="0" fontId="26" fillId="20" borderId="0" applyBorder="0" applyProtection="0">
      <alignment vertical="center"/>
    </xf>
    <xf numFmtId="0" fontId="26" fillId="62" borderId="0" applyBorder="0" applyProtection="0">
      <alignment vertical="center"/>
    </xf>
    <xf numFmtId="0" fontId="26" fillId="62" borderId="0" applyBorder="0" applyProtection="0">
      <alignment vertical="center"/>
    </xf>
    <xf numFmtId="0" fontId="26" fillId="62" borderId="0" applyBorder="0" applyProtection="0">
      <alignment vertical="center"/>
    </xf>
    <xf numFmtId="0" fontId="26" fillId="62" borderId="0" applyBorder="0" applyProtection="0">
      <alignment vertical="center"/>
    </xf>
    <xf numFmtId="0" fontId="26" fillId="39" borderId="0" applyBorder="0" applyProtection="0">
      <alignment vertical="center"/>
    </xf>
    <xf numFmtId="0" fontId="26" fillId="39" borderId="0" applyBorder="0" applyProtection="0">
      <alignment vertical="center"/>
    </xf>
    <xf numFmtId="0" fontId="17" fillId="0" borderId="0">
      <alignment vertical="center"/>
    </xf>
    <xf numFmtId="0" fontId="26" fillId="36" borderId="0" applyBorder="0" applyProtection="0">
      <alignment vertical="center"/>
    </xf>
    <xf numFmtId="0" fontId="26" fillId="36" borderId="0" applyBorder="0" applyProtection="0">
      <alignment vertical="center"/>
    </xf>
    <xf numFmtId="0" fontId="26" fillId="39" borderId="0" applyBorder="0" applyProtection="0">
      <alignment vertical="center"/>
    </xf>
    <xf numFmtId="0" fontId="26" fillId="36" borderId="0" applyBorder="0" applyProtection="0">
      <alignment vertical="center"/>
    </xf>
    <xf numFmtId="0" fontId="26" fillId="36" borderId="0" applyBorder="0" applyProtection="0">
      <alignment vertical="center"/>
    </xf>
    <xf numFmtId="0" fontId="26" fillId="36" borderId="0" applyBorder="0" applyProtection="0">
      <alignment vertical="center"/>
    </xf>
    <xf numFmtId="0" fontId="26" fillId="36" borderId="0" applyBorder="0" applyProtection="0">
      <alignment vertical="center"/>
    </xf>
    <xf numFmtId="0" fontId="26" fillId="27" borderId="0" applyBorder="0" applyProtection="0">
      <alignment vertical="center"/>
    </xf>
    <xf numFmtId="0" fontId="26" fillId="27" borderId="0" applyBorder="0" applyProtection="0">
      <alignment vertical="center"/>
    </xf>
    <xf numFmtId="0" fontId="0" fillId="0" borderId="0">
      <alignment vertical="center"/>
    </xf>
    <xf numFmtId="0" fontId="26" fillId="36" borderId="0" applyBorder="0" applyProtection="0">
      <alignment vertical="center"/>
    </xf>
    <xf numFmtId="0" fontId="26" fillId="27" borderId="0" applyBorder="0" applyProtection="0">
      <alignment vertical="center"/>
    </xf>
    <xf numFmtId="0" fontId="62" fillId="0" borderId="0" applyBorder="0" applyProtection="0">
      <alignment vertical="center"/>
    </xf>
    <xf numFmtId="0" fontId="26" fillId="27" borderId="0" applyBorder="0" applyProtection="0">
      <alignment vertical="center"/>
    </xf>
    <xf numFmtId="0" fontId="26" fillId="27" borderId="0" applyBorder="0" applyProtection="0">
      <alignment vertical="center"/>
    </xf>
    <xf numFmtId="0" fontId="26" fillId="27" borderId="0" applyBorder="0" applyProtection="0">
      <alignment vertical="center"/>
    </xf>
    <xf numFmtId="0" fontId="17" fillId="0" borderId="0">
      <alignment vertical="center"/>
    </xf>
    <xf numFmtId="0" fontId="33" fillId="19" borderId="0" applyBorder="0" applyProtection="0">
      <alignment vertical="center"/>
    </xf>
    <xf numFmtId="0" fontId="29" fillId="0" borderId="0">
      <alignment vertical="center"/>
    </xf>
    <xf numFmtId="0" fontId="26" fillId="20" borderId="0" applyBorder="0" applyProtection="0">
      <alignment vertical="center"/>
    </xf>
    <xf numFmtId="0" fontId="18" fillId="0" borderId="16" applyProtection="0">
      <alignment vertical="center"/>
    </xf>
    <xf numFmtId="0" fontId="29" fillId="0" borderId="0"/>
    <xf numFmtId="0" fontId="61" fillId="0" borderId="0" applyBorder="0" applyProtection="0">
      <alignment vertical="center"/>
    </xf>
    <xf numFmtId="0" fontId="29" fillId="0" borderId="0"/>
    <xf numFmtId="178" fontId="0" fillId="0" borderId="0">
      <alignment vertical="center"/>
    </xf>
    <xf numFmtId="0" fontId="27" fillId="0" borderId="0" applyBorder="0" applyProtection="0">
      <alignment vertical="center"/>
    </xf>
    <xf numFmtId="179" fontId="0" fillId="0" borderId="0" applyBorder="0" applyProtection="0">
      <alignment vertical="center"/>
    </xf>
    <xf numFmtId="179" fontId="0" fillId="0" borderId="0" applyBorder="0" applyProtection="0">
      <alignment vertical="center"/>
    </xf>
    <xf numFmtId="179" fontId="0" fillId="0" borderId="0" applyBorder="0" applyProtection="0">
      <alignment vertical="center"/>
    </xf>
    <xf numFmtId="0" fontId="61" fillId="0" borderId="0" applyBorder="0" applyProtection="0">
      <alignment vertical="center"/>
    </xf>
    <xf numFmtId="0" fontId="60" fillId="45" borderId="0" applyBorder="0" applyProtection="0">
      <alignment vertical="center"/>
    </xf>
    <xf numFmtId="0" fontId="60" fillId="45" borderId="0" applyBorder="0" applyProtection="0">
      <alignment vertical="center"/>
    </xf>
    <xf numFmtId="0" fontId="60" fillId="45" borderId="0" applyBorder="0" applyProtection="0">
      <alignment vertical="center"/>
    </xf>
    <xf numFmtId="0" fontId="41" fillId="0" borderId="22" applyProtection="0">
      <alignment vertical="center"/>
    </xf>
    <xf numFmtId="0" fontId="60" fillId="45" borderId="0" applyBorder="0" applyProtection="0">
      <alignment vertical="center"/>
    </xf>
    <xf numFmtId="0" fontId="60" fillId="45" borderId="0" applyBorder="0" applyProtection="0">
      <alignment vertical="center"/>
    </xf>
    <xf numFmtId="0" fontId="61" fillId="0" borderId="30" applyProtection="0">
      <alignment vertical="center"/>
    </xf>
    <xf numFmtId="0" fontId="33" fillId="19" borderId="0" applyBorder="0" applyProtection="0">
      <alignment vertical="center"/>
    </xf>
    <xf numFmtId="0" fontId="45" fillId="0" borderId="0" applyBorder="0" applyProtection="0">
      <alignment vertical="center"/>
    </xf>
    <xf numFmtId="0" fontId="33" fillId="19" borderId="0" applyBorder="0" applyProtection="0">
      <alignment vertical="center"/>
    </xf>
    <xf numFmtId="0" fontId="33" fillId="19" borderId="0" applyBorder="0" applyProtection="0">
      <alignment vertical="center"/>
    </xf>
    <xf numFmtId="0" fontId="33" fillId="19" borderId="0" applyBorder="0" applyProtection="0">
      <alignment vertical="center"/>
    </xf>
    <xf numFmtId="0" fontId="33" fillId="19" borderId="0" applyBorder="0" applyProtection="0">
      <alignment vertical="center"/>
    </xf>
    <xf numFmtId="9" fontId="0" fillId="0" borderId="0">
      <alignment vertical="center"/>
    </xf>
    <xf numFmtId="0" fontId="0" fillId="0" borderId="0">
      <alignment vertical="center"/>
    </xf>
    <xf numFmtId="0" fontId="41" fillId="0" borderId="22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17" fillId="0" borderId="0"/>
    <xf numFmtId="0" fontId="17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26" fillId="23" borderId="0" applyBorder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63" fillId="0" borderId="0" applyBorder="0" applyProtection="0">
      <alignment vertical="top" wrapText="1"/>
    </xf>
    <xf numFmtId="0" fontId="9" fillId="0" borderId="0">
      <alignment vertical="center"/>
    </xf>
    <xf numFmtId="0" fontId="0" fillId="0" borderId="0"/>
    <xf numFmtId="0" fontId="0" fillId="0" borderId="0"/>
    <xf numFmtId="0" fontId="9" fillId="0" borderId="0">
      <alignment vertical="center"/>
    </xf>
    <xf numFmtId="0" fontId="38" fillId="25" borderId="20" applyProtection="0">
      <alignment vertical="center"/>
    </xf>
    <xf numFmtId="0" fontId="17" fillId="0" borderId="0">
      <alignment vertical="center"/>
    </xf>
    <xf numFmtId="0" fontId="38" fillId="25" borderId="20" applyProtection="0">
      <alignment vertical="center"/>
    </xf>
    <xf numFmtId="0" fontId="9" fillId="0" borderId="0">
      <alignment vertical="center"/>
    </xf>
    <xf numFmtId="0" fontId="0" fillId="0" borderId="0"/>
    <xf numFmtId="0" fontId="9" fillId="0" borderId="0">
      <alignment vertical="center"/>
    </xf>
    <xf numFmtId="0" fontId="38" fillId="25" borderId="20" applyProtection="0">
      <alignment vertical="center"/>
    </xf>
    <xf numFmtId="0" fontId="0" fillId="0" borderId="0"/>
    <xf numFmtId="0" fontId="9" fillId="0" borderId="0">
      <alignment vertical="center"/>
    </xf>
    <xf numFmtId="0" fontId="26" fillId="39" borderId="0" applyBorder="0" applyProtection="0">
      <alignment vertical="center"/>
    </xf>
    <xf numFmtId="0" fontId="0" fillId="0" borderId="0"/>
    <xf numFmtId="0" fontId="26" fillId="39" borderId="0" applyBorder="0" applyProtection="0">
      <alignment vertical="center"/>
    </xf>
    <xf numFmtId="0" fontId="17" fillId="0" borderId="0"/>
    <xf numFmtId="0" fontId="26" fillId="39" borderId="0" applyBorder="0" applyProtection="0">
      <alignment vertical="center"/>
    </xf>
    <xf numFmtId="0" fontId="17" fillId="0" borderId="0"/>
    <xf numFmtId="0" fontId="26" fillId="39" borderId="0" applyBorder="0" applyProtection="0">
      <alignment vertical="center"/>
    </xf>
    <xf numFmtId="0" fontId="17" fillId="0" borderId="0"/>
    <xf numFmtId="0" fontId="0" fillId="0" borderId="0">
      <alignment vertical="center"/>
    </xf>
    <xf numFmtId="0" fontId="0" fillId="0" borderId="0">
      <alignment vertical="center"/>
    </xf>
    <xf numFmtId="0" fontId="36" fillId="24" borderId="0" applyBorder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36" borderId="0" applyBorder="0" applyProtection="0">
      <alignment vertical="center"/>
    </xf>
    <xf numFmtId="0" fontId="0" fillId="0" borderId="0">
      <alignment vertical="center"/>
    </xf>
    <xf numFmtId="0" fontId="26" fillId="36" borderId="0" applyBorder="0" applyProtection="0">
      <alignment vertical="center"/>
    </xf>
    <xf numFmtId="0" fontId="17" fillId="0" borderId="0"/>
    <xf numFmtId="0" fontId="17" fillId="0" borderId="0"/>
    <xf numFmtId="0" fontId="0" fillId="0" borderId="0">
      <alignment vertical="center"/>
    </xf>
    <xf numFmtId="0" fontId="38" fillId="25" borderId="20" applyProtection="0">
      <alignment vertical="center"/>
    </xf>
    <xf numFmtId="0" fontId="17" fillId="0" borderId="0"/>
    <xf numFmtId="0" fontId="29" fillId="0" borderId="0">
      <alignment vertical="center"/>
    </xf>
    <xf numFmtId="0" fontId="26" fillId="15" borderId="0" applyBorder="0" applyProtection="0">
      <alignment vertical="center"/>
    </xf>
    <xf numFmtId="0" fontId="0" fillId="0" borderId="0">
      <alignment vertical="center"/>
    </xf>
    <xf numFmtId="0" fontId="29" fillId="0" borderId="0"/>
    <xf numFmtId="0" fontId="0" fillId="14" borderId="15" applyProtection="0">
      <alignment vertical="center"/>
    </xf>
    <xf numFmtId="0" fontId="27" fillId="0" borderId="0" applyBorder="0" applyProtection="0">
      <alignment vertical="center"/>
    </xf>
    <xf numFmtId="0" fontId="26" fillId="37" borderId="0" applyBorder="0" applyProtection="0">
      <alignment vertical="center"/>
    </xf>
    <xf numFmtId="0" fontId="26" fillId="37" borderId="0" applyBorder="0" applyProtection="0">
      <alignment vertical="center"/>
    </xf>
    <xf numFmtId="0" fontId="26" fillId="37" borderId="0" applyBorder="0" applyProtection="0">
      <alignment vertical="center"/>
    </xf>
    <xf numFmtId="0" fontId="26" fillId="37" borderId="0" applyBorder="0" applyProtection="0">
      <alignment vertical="center"/>
    </xf>
    <xf numFmtId="0" fontId="26" fillId="37" borderId="0" applyBorder="0" applyProtection="0">
      <alignment vertical="center"/>
    </xf>
    <xf numFmtId="0" fontId="28" fillId="0" borderId="0" applyBorder="0" applyProtection="0">
      <alignment vertical="center"/>
    </xf>
    <xf numFmtId="0" fontId="26" fillId="37" borderId="0" applyBorder="0" applyProtection="0">
      <alignment vertical="center"/>
    </xf>
    <xf numFmtId="0" fontId="28" fillId="0" borderId="0" applyBorder="0" applyProtection="0">
      <alignment vertical="center"/>
    </xf>
    <xf numFmtId="0" fontId="18" fillId="0" borderId="16" applyProtection="0">
      <alignment vertical="center"/>
    </xf>
    <xf numFmtId="0" fontId="26" fillId="20" borderId="0" applyBorder="0" applyProtection="0">
      <alignment vertical="center"/>
    </xf>
    <xf numFmtId="0" fontId="26" fillId="20" borderId="0" applyBorder="0" applyProtection="0">
      <alignment vertical="center"/>
    </xf>
    <xf numFmtId="0" fontId="26" fillId="20" borderId="0" applyBorder="0" applyProtection="0">
      <alignment vertical="center"/>
    </xf>
    <xf numFmtId="0" fontId="26" fillId="20" borderId="0" applyBorder="0" applyProtection="0">
      <alignment vertical="center"/>
    </xf>
    <xf numFmtId="0" fontId="28" fillId="0" borderId="0" applyBorder="0" applyProtection="0">
      <alignment vertical="center"/>
    </xf>
    <xf numFmtId="0" fontId="26" fillId="23" borderId="0" applyBorder="0" applyProtection="0">
      <alignment vertical="center"/>
    </xf>
    <xf numFmtId="0" fontId="38" fillId="25" borderId="20" applyProtection="0">
      <alignment vertical="center"/>
    </xf>
    <xf numFmtId="0" fontId="26" fillId="23" borderId="0" applyBorder="0" applyProtection="0">
      <alignment vertical="center"/>
    </xf>
    <xf numFmtId="0" fontId="26" fillId="23" borderId="0" applyBorder="0" applyProtection="0">
      <alignment vertical="center"/>
    </xf>
    <xf numFmtId="0" fontId="26" fillId="23" borderId="0" applyBorder="0" applyProtection="0">
      <alignment vertical="center"/>
    </xf>
    <xf numFmtId="0" fontId="18" fillId="0" borderId="16" applyProtection="0">
      <alignment vertical="center"/>
    </xf>
    <xf numFmtId="0" fontId="26" fillId="39" borderId="0" applyBorder="0" applyProtection="0">
      <alignment vertical="center"/>
    </xf>
    <xf numFmtId="0" fontId="26" fillId="39" borderId="0" applyBorder="0" applyProtection="0">
      <alignment vertical="center"/>
    </xf>
    <xf numFmtId="0" fontId="38" fillId="25" borderId="20" applyProtection="0">
      <alignment vertical="center"/>
    </xf>
    <xf numFmtId="0" fontId="26" fillId="36" borderId="0" applyBorder="0" applyProtection="0">
      <alignment vertical="center"/>
    </xf>
    <xf numFmtId="0" fontId="26" fillId="36" borderId="0" applyBorder="0" applyProtection="0">
      <alignment vertical="center"/>
    </xf>
    <xf numFmtId="0" fontId="26" fillId="36" borderId="0" applyBorder="0" applyProtection="0">
      <alignment vertical="center"/>
    </xf>
    <xf numFmtId="0" fontId="26" fillId="36" borderId="0" applyBorder="0" applyProtection="0">
      <alignment vertical="center"/>
    </xf>
    <xf numFmtId="0" fontId="26" fillId="15" borderId="0" applyBorder="0" applyProtection="0">
      <alignment vertical="center"/>
    </xf>
    <xf numFmtId="0" fontId="26" fillId="15" borderId="0" applyBorder="0" applyProtection="0">
      <alignment vertical="center"/>
    </xf>
    <xf numFmtId="0" fontId="26" fillId="15" borderId="0" applyBorder="0" applyProtection="0">
      <alignment vertical="center"/>
    </xf>
    <xf numFmtId="0" fontId="26" fillId="15" borderId="0" applyBorder="0" applyProtection="0">
      <alignment vertical="center"/>
    </xf>
    <xf numFmtId="0" fontId="26" fillId="15" borderId="0" applyBorder="0" applyProtection="0">
      <alignment vertical="center"/>
    </xf>
    <xf numFmtId="0" fontId="26" fillId="15" borderId="0" applyBorder="0" applyProtection="0">
      <alignment vertical="center"/>
    </xf>
    <xf numFmtId="0" fontId="65" fillId="0" borderId="31" applyProtection="0">
      <alignment vertical="center"/>
    </xf>
    <xf numFmtId="0" fontId="65" fillId="0" borderId="31" applyProtection="0">
      <alignment vertical="center"/>
    </xf>
    <xf numFmtId="0" fontId="65" fillId="0" borderId="31" applyProtection="0">
      <alignment vertical="center"/>
    </xf>
    <xf numFmtId="0" fontId="65" fillId="0" borderId="31" applyProtection="0">
      <alignment vertical="center"/>
    </xf>
    <xf numFmtId="0" fontId="65" fillId="0" borderId="31" applyProtection="0">
      <alignment vertical="center"/>
    </xf>
    <xf numFmtId="0" fontId="18" fillId="0" borderId="16" applyProtection="0">
      <alignment vertical="center"/>
    </xf>
    <xf numFmtId="0" fontId="65" fillId="0" borderId="31" applyProtection="0">
      <alignment vertical="center"/>
    </xf>
    <xf numFmtId="0" fontId="65" fillId="0" borderId="31" applyProtection="0">
      <alignment vertical="center"/>
    </xf>
    <xf numFmtId="0" fontId="41" fillId="0" borderId="22" applyProtection="0">
      <alignment vertical="center"/>
    </xf>
    <xf numFmtId="0" fontId="41" fillId="0" borderId="22" applyProtection="0">
      <alignment vertical="center"/>
    </xf>
    <xf numFmtId="0" fontId="41" fillId="0" borderId="22" applyProtection="0">
      <alignment vertical="center"/>
    </xf>
    <xf numFmtId="0" fontId="41" fillId="0" borderId="22" applyProtection="0">
      <alignment vertical="center"/>
    </xf>
    <xf numFmtId="0" fontId="41" fillId="0" borderId="22" applyProtection="0">
      <alignment vertical="center"/>
    </xf>
    <xf numFmtId="0" fontId="61" fillId="0" borderId="30" applyProtection="0">
      <alignment vertical="center"/>
    </xf>
    <xf numFmtId="0" fontId="61" fillId="0" borderId="30" applyProtection="0">
      <alignment vertical="center"/>
    </xf>
    <xf numFmtId="0" fontId="61" fillId="0" borderId="30" applyProtection="0">
      <alignment vertical="center"/>
    </xf>
    <xf numFmtId="0" fontId="61" fillId="0" borderId="30" applyProtection="0">
      <alignment vertical="center"/>
    </xf>
    <xf numFmtId="0" fontId="29" fillId="0" borderId="0"/>
    <xf numFmtId="0" fontId="61" fillId="0" borderId="30" applyProtection="0">
      <alignment vertical="center"/>
    </xf>
    <xf numFmtId="0" fontId="61" fillId="0" borderId="30" applyProtection="0">
      <alignment vertical="center"/>
    </xf>
    <xf numFmtId="0" fontId="61" fillId="0" borderId="0" applyBorder="0" applyProtection="0">
      <alignment vertical="center"/>
    </xf>
    <xf numFmtId="0" fontId="61" fillId="0" borderId="0" applyBorder="0" applyProtection="0">
      <alignment vertical="center"/>
    </xf>
    <xf numFmtId="0" fontId="18" fillId="0" borderId="16" applyProtection="0">
      <alignment vertical="center"/>
    </xf>
    <xf numFmtId="0" fontId="61" fillId="0" borderId="0" applyBorder="0" applyProtection="0">
      <alignment vertical="center"/>
    </xf>
    <xf numFmtId="0" fontId="18" fillId="0" borderId="16" applyProtection="0">
      <alignment vertical="center"/>
    </xf>
    <xf numFmtId="0" fontId="28" fillId="0" borderId="0" applyBorder="0" applyProtection="0">
      <alignment vertical="center"/>
    </xf>
    <xf numFmtId="0" fontId="45" fillId="0" borderId="0" applyBorder="0" applyProtection="0">
      <alignment vertical="center"/>
    </xf>
    <xf numFmtId="0" fontId="28" fillId="0" borderId="0" applyBorder="0" applyProtection="0">
      <alignment vertical="center"/>
    </xf>
    <xf numFmtId="0" fontId="28" fillId="0" borderId="0" applyBorder="0" applyProtection="0">
      <alignment vertical="center"/>
    </xf>
    <xf numFmtId="0" fontId="0" fillId="14" borderId="15" applyProtection="0">
      <alignment vertical="center"/>
    </xf>
    <xf numFmtId="0" fontId="28" fillId="0" borderId="0" applyBorder="0" applyProtection="0">
      <alignment vertical="center"/>
    </xf>
    <xf numFmtId="0" fontId="64" fillId="0" borderId="0"/>
    <xf numFmtId="0" fontId="29" fillId="0" borderId="0"/>
    <xf numFmtId="0" fontId="40" fillId="0" borderId="0"/>
    <xf numFmtId="0" fontId="40" fillId="0" borderId="0"/>
    <xf numFmtId="0" fontId="40" fillId="0" borderId="0"/>
    <xf numFmtId="0" fontId="38" fillId="25" borderId="20" applyProtection="0">
      <alignment vertical="center"/>
    </xf>
    <xf numFmtId="0" fontId="40" fillId="0" borderId="0"/>
    <xf numFmtId="0" fontId="38" fillId="25" borderId="20" applyProtection="0">
      <alignment vertical="center"/>
    </xf>
    <xf numFmtId="0" fontId="53" fillId="42" borderId="25" applyProtection="0">
      <alignment vertical="center"/>
    </xf>
    <xf numFmtId="0" fontId="18" fillId="0" borderId="16" applyProtection="0">
      <alignment vertical="center"/>
    </xf>
    <xf numFmtId="0" fontId="53" fillId="42" borderId="25" applyProtection="0">
      <alignment vertical="center"/>
    </xf>
    <xf numFmtId="0" fontId="53" fillId="42" borderId="25" applyProtection="0">
      <alignment vertical="center"/>
    </xf>
    <xf numFmtId="0" fontId="53" fillId="42" borderId="25" applyProtection="0">
      <alignment vertical="center"/>
    </xf>
    <xf numFmtId="0" fontId="18" fillId="0" borderId="16" applyProtection="0">
      <alignment vertical="center"/>
    </xf>
    <xf numFmtId="0" fontId="18" fillId="0" borderId="16" applyProtection="0">
      <alignment vertical="center"/>
    </xf>
    <xf numFmtId="0" fontId="18" fillId="0" borderId="16" applyProtection="0">
      <alignment vertical="center"/>
    </xf>
    <xf numFmtId="0" fontId="0" fillId="14" borderId="15" applyProtection="0">
      <alignment vertical="center"/>
    </xf>
    <xf numFmtId="0" fontId="0" fillId="14" borderId="15" applyProtection="0">
      <alignment vertical="center"/>
    </xf>
    <xf numFmtId="0" fontId="0" fillId="14" borderId="15" applyProtection="0">
      <alignment vertical="center"/>
    </xf>
    <xf numFmtId="0" fontId="0" fillId="14" borderId="15" applyProtection="0">
      <alignment vertical="center"/>
    </xf>
    <xf numFmtId="0" fontId="0" fillId="14" borderId="15" applyProtection="0">
      <alignment vertical="center"/>
    </xf>
    <xf numFmtId="0" fontId="35" fillId="0" borderId="19" applyProtection="0">
      <alignment vertical="center"/>
    </xf>
    <xf numFmtId="0" fontId="0" fillId="14" borderId="15" applyProtection="0">
      <alignment vertical="center"/>
    </xf>
    <xf numFmtId="0" fontId="35" fillId="0" borderId="19" applyProtection="0">
      <alignment vertical="center"/>
    </xf>
    <xf numFmtId="0" fontId="0" fillId="14" borderId="15" applyProtection="0">
      <alignment vertical="center"/>
    </xf>
    <xf numFmtId="0" fontId="0" fillId="14" borderId="15" applyProtection="0">
      <alignment vertical="center"/>
    </xf>
    <xf numFmtId="0" fontId="0" fillId="14" borderId="15" applyProtection="0">
      <alignment vertical="center"/>
    </xf>
    <xf numFmtId="0" fontId="0" fillId="14" borderId="15" applyProtection="0">
      <alignment vertical="center"/>
    </xf>
    <xf numFmtId="0" fontId="0" fillId="14" borderId="15" applyProtection="0">
      <alignment vertical="center"/>
    </xf>
    <xf numFmtId="0" fontId="0" fillId="14" borderId="15" applyProtection="0">
      <alignment vertical="center"/>
    </xf>
    <xf numFmtId="0" fontId="0" fillId="14" borderId="15" applyProtection="0">
      <alignment vertical="center"/>
    </xf>
    <xf numFmtId="0" fontId="0" fillId="14" borderId="15" applyProtection="0">
      <alignment vertical="center"/>
    </xf>
    <xf numFmtId="0" fontId="0" fillId="14" borderId="15" applyProtection="0">
      <alignment vertical="center"/>
    </xf>
    <xf numFmtId="0" fontId="0" fillId="14" borderId="15" applyProtection="0">
      <alignment vertical="center"/>
    </xf>
    <xf numFmtId="0" fontId="0" fillId="14" borderId="15" applyProtection="0">
      <alignment vertical="center"/>
    </xf>
    <xf numFmtId="0" fontId="0" fillId="14" borderId="15" applyProtection="0">
      <alignment vertical="center"/>
    </xf>
    <xf numFmtId="0" fontId="27" fillId="0" borderId="0" applyBorder="0" applyProtection="0">
      <alignment vertical="center"/>
    </xf>
    <xf numFmtId="9" fontId="0" fillId="0" borderId="0" applyBorder="0" applyProtection="0">
      <alignment vertical="center"/>
    </xf>
    <xf numFmtId="0" fontId="45" fillId="0" borderId="0" applyBorder="0" applyProtection="0">
      <alignment vertical="center"/>
    </xf>
    <xf numFmtId="0" fontId="45" fillId="0" borderId="0" applyBorder="0" applyProtection="0">
      <alignment vertical="center"/>
    </xf>
    <xf numFmtId="0" fontId="45" fillId="0" borderId="0" applyBorder="0" applyProtection="0">
      <alignment vertical="center"/>
    </xf>
    <xf numFmtId="0" fontId="27" fillId="0" borderId="0" applyBorder="0" applyProtection="0">
      <alignment vertical="center"/>
    </xf>
    <xf numFmtId="0" fontId="27" fillId="0" borderId="0" applyBorder="0" applyProtection="0">
      <alignment vertical="center"/>
    </xf>
    <xf numFmtId="0" fontId="38" fillId="25" borderId="20" applyProtection="0">
      <alignment vertical="center"/>
    </xf>
    <xf numFmtId="0" fontId="38" fillId="25" borderId="20" applyProtection="0">
      <alignment vertical="center"/>
    </xf>
    <xf numFmtId="0" fontId="38" fillId="25" borderId="20" applyProtection="0">
      <alignment vertical="center"/>
    </xf>
    <xf numFmtId="0" fontId="34" fillId="21" borderId="18" applyProtection="0">
      <alignment vertical="center"/>
    </xf>
    <xf numFmtId="0" fontId="34" fillId="21" borderId="18" applyProtection="0">
      <alignment vertical="center"/>
    </xf>
    <xf numFmtId="0" fontId="34" fillId="21" borderId="18" applyProtection="0">
      <alignment vertical="center"/>
    </xf>
    <xf numFmtId="0" fontId="34" fillId="21" borderId="18" applyProtection="0">
      <alignment vertical="center"/>
    </xf>
    <xf numFmtId="0" fontId="36" fillId="24" borderId="0" applyBorder="0" applyProtection="0">
      <alignment vertical="center"/>
    </xf>
    <xf numFmtId="0" fontId="36" fillId="24" borderId="0" applyBorder="0" applyProtection="0">
      <alignment vertical="center"/>
    </xf>
    <xf numFmtId="0" fontId="36" fillId="24" borderId="0" applyBorder="0" applyProtection="0">
      <alignment vertical="center"/>
    </xf>
    <xf numFmtId="0" fontId="35" fillId="0" borderId="19" applyProtection="0">
      <alignment vertical="center"/>
    </xf>
  </cellStyleXfs>
  <cellXfs count="248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justify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0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justify" vertical="center" wrapText="1"/>
    </xf>
    <xf numFmtId="9" fontId="0" fillId="0" borderId="4" xfId="0" applyNumberFormat="1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Border="1" applyAlignment="1" applyProtection="1">
      <alignment horizontal="center" vertical="center"/>
    </xf>
    <xf numFmtId="0" fontId="0" fillId="0" borderId="0" xfId="0" applyFont="1" applyBorder="1" applyAlignment="1" applyProtection="1">
      <alignment vertical="center"/>
    </xf>
    <xf numFmtId="0" fontId="0" fillId="0" borderId="0" xfId="0" applyFont="1" applyBorder="1" applyAlignment="1" applyProtection="1">
      <alignment horizontal="center" vertical="center"/>
    </xf>
    <xf numFmtId="176" fontId="6" fillId="0" borderId="5" xfId="281" applyNumberFormat="1" applyFont="1" applyBorder="1" applyAlignment="1" applyProtection="1">
      <alignment vertical="center"/>
    </xf>
    <xf numFmtId="176" fontId="7" fillId="3" borderId="6" xfId="0" applyNumberFormat="1" applyFont="1" applyFill="1" applyBorder="1" applyAlignment="1" applyProtection="1">
      <alignment horizontal="center" vertical="center"/>
    </xf>
    <xf numFmtId="176" fontId="6" fillId="3" borderId="6" xfId="0" applyNumberFormat="1" applyFont="1" applyFill="1" applyBorder="1" applyAlignment="1" applyProtection="1">
      <alignment horizontal="center" vertical="center"/>
    </xf>
    <xf numFmtId="0" fontId="8" fillId="3" borderId="6" xfId="0" applyFont="1" applyFill="1" applyBorder="1" applyAlignment="1" applyProtection="1">
      <alignment horizontal="center" vertical="center" wrapText="1"/>
    </xf>
    <xf numFmtId="0" fontId="8" fillId="4" borderId="6" xfId="0" applyFont="1" applyFill="1" applyBorder="1" applyAlignment="1" applyProtection="1">
      <alignment horizontal="center" vertical="center" wrapText="1"/>
    </xf>
    <xf numFmtId="0" fontId="6" fillId="4" borderId="6" xfId="0" applyFont="1" applyFill="1" applyBorder="1" applyAlignment="1" applyProtection="1">
      <alignment horizontal="center" vertical="center" wrapText="1"/>
    </xf>
    <xf numFmtId="176" fontId="9" fillId="0" borderId="7" xfId="0" applyNumberFormat="1" applyFont="1" applyBorder="1" applyAlignment="1" applyProtection="1">
      <alignment horizontal="center" vertical="center"/>
    </xf>
    <xf numFmtId="0" fontId="9" fillId="5" borderId="8" xfId="0" applyFont="1" applyFill="1" applyBorder="1" applyAlignment="1" applyProtection="1">
      <alignment horizontal="center" vertical="center" wrapText="1"/>
    </xf>
    <xf numFmtId="0" fontId="9" fillId="4" borderId="8" xfId="0" applyFont="1" applyFill="1" applyBorder="1" applyAlignment="1" applyProtection="1">
      <alignment horizontal="center" vertical="top" wrapText="1"/>
    </xf>
    <xf numFmtId="0" fontId="10" fillId="4" borderId="8" xfId="0" applyFont="1" applyFill="1" applyBorder="1" applyAlignment="1" applyProtection="1">
      <alignment horizontal="center" vertical="center" wrapText="1"/>
    </xf>
    <xf numFmtId="0" fontId="9" fillId="4" borderId="9" xfId="0" applyFont="1" applyFill="1" applyBorder="1" applyAlignment="1" applyProtection="1">
      <alignment vertical="center"/>
    </xf>
    <xf numFmtId="49" fontId="10" fillId="4" borderId="9" xfId="0" applyNumberFormat="1" applyFont="1" applyFill="1" applyBorder="1" applyAlignment="1" applyProtection="1">
      <alignment horizontal="center" vertical="center" wrapText="1"/>
    </xf>
    <xf numFmtId="0" fontId="10" fillId="5" borderId="8" xfId="0" applyFont="1" applyFill="1" applyBorder="1" applyAlignment="1" applyProtection="1">
      <alignment horizontal="center" vertical="center"/>
    </xf>
    <xf numFmtId="176" fontId="5" fillId="0" borderId="8" xfId="0" applyNumberFormat="1" applyFont="1" applyBorder="1" applyAlignment="1" applyProtection="1">
      <alignment horizontal="center" vertical="center"/>
    </xf>
    <xf numFmtId="176" fontId="5" fillId="0" borderId="8" xfId="0" applyNumberFormat="1" applyFont="1" applyBorder="1" applyAlignment="1" applyProtection="1">
      <alignment horizontal="center" vertical="top"/>
    </xf>
    <xf numFmtId="0" fontId="10" fillId="0" borderId="8" xfId="0" applyFont="1" applyBorder="1" applyAlignment="1" applyProtection="1">
      <alignment horizontal="center" vertical="center" wrapText="1"/>
    </xf>
    <xf numFmtId="0" fontId="0" fillId="0" borderId="9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181" fontId="0" fillId="0" borderId="0" xfId="0" applyNumberFormat="1" applyFont="1" applyBorder="1" applyAlignment="1" applyProtection="1">
      <alignment horizontal="center" vertical="center"/>
    </xf>
    <xf numFmtId="0" fontId="11" fillId="0" borderId="0" xfId="0" applyFont="1" applyBorder="1" applyAlignment="1" applyProtection="1">
      <alignment vertical="center"/>
    </xf>
    <xf numFmtId="0" fontId="12" fillId="0" borderId="0" xfId="0" applyFont="1" applyBorder="1" applyAlignment="1" applyProtection="1">
      <alignment horizontal="left" vertical="center"/>
    </xf>
    <xf numFmtId="0" fontId="13" fillId="0" borderId="0" xfId="0" applyFont="1" applyBorder="1" applyAlignment="1" applyProtection="1">
      <alignment vertical="center"/>
    </xf>
    <xf numFmtId="0" fontId="14" fillId="0" borderId="0" xfId="0" applyFont="1" applyBorder="1" applyAlignment="1" applyProtection="1">
      <alignment vertical="center"/>
    </xf>
    <xf numFmtId="0" fontId="0" fillId="0" borderId="0" xfId="0" applyFont="1" applyBorder="1" applyAlignment="1" applyProtection="1">
      <alignment horizontal="left" vertical="center" wrapText="1"/>
    </xf>
    <xf numFmtId="0" fontId="14" fillId="0" borderId="0" xfId="0" applyFont="1" applyBorder="1" applyAlignment="1" applyProtection="1">
      <alignment vertical="center" wrapText="1"/>
    </xf>
    <xf numFmtId="0" fontId="0" fillId="0" borderId="0" xfId="0" applyFont="1" applyBorder="1" applyAlignment="1" applyProtection="1">
      <alignment vertical="center" wrapText="1"/>
    </xf>
    <xf numFmtId="0" fontId="6" fillId="3" borderId="6" xfId="0" applyFont="1" applyFill="1" applyBorder="1" applyAlignment="1" applyProtection="1">
      <alignment horizontal="center" vertical="center" wrapText="1"/>
    </xf>
    <xf numFmtId="183" fontId="9" fillId="4" borderId="9" xfId="0" applyNumberFormat="1" applyFont="1" applyFill="1" applyBorder="1" applyAlignment="1" applyProtection="1">
      <alignment vertical="center"/>
    </xf>
    <xf numFmtId="178" fontId="9" fillId="5" borderId="8" xfId="0" applyNumberFormat="1" applyFont="1" applyFill="1" applyBorder="1" applyAlignment="1" applyProtection="1">
      <alignment vertical="center"/>
    </xf>
    <xf numFmtId="181" fontId="15" fillId="0" borderId="8" xfId="0" applyNumberFormat="1" applyFont="1" applyBorder="1" applyAlignment="1" applyProtection="1">
      <alignment horizontal="center" vertical="center"/>
    </xf>
    <xf numFmtId="0" fontId="7" fillId="3" borderId="6" xfId="0" applyFont="1" applyFill="1" applyBorder="1" applyAlignment="1" applyProtection="1">
      <alignment horizontal="center" vertical="center" wrapText="1"/>
    </xf>
    <xf numFmtId="180" fontId="7" fillId="3" borderId="6" xfId="0" applyNumberFormat="1" applyFont="1" applyFill="1" applyBorder="1" applyAlignment="1" applyProtection="1">
      <alignment horizontal="center" vertical="center" wrapText="1"/>
    </xf>
    <xf numFmtId="177" fontId="7" fillId="3" borderId="6" xfId="0" applyNumberFormat="1" applyFont="1" applyFill="1" applyBorder="1" applyAlignment="1" applyProtection="1">
      <alignment horizontal="center" vertical="center" wrapText="1"/>
    </xf>
    <xf numFmtId="178" fontId="9" fillId="5" borderId="10" xfId="0" applyNumberFormat="1" applyFont="1" applyFill="1" applyBorder="1" applyAlignment="1" applyProtection="1">
      <alignment vertical="center"/>
    </xf>
    <xf numFmtId="178" fontId="9" fillId="0" borderId="10" xfId="0" applyNumberFormat="1" applyFont="1" applyBorder="1" applyAlignment="1" applyProtection="1">
      <alignment vertical="center"/>
    </xf>
    <xf numFmtId="181" fontId="9" fillId="0" borderId="10" xfId="0" applyNumberFormat="1" applyFont="1" applyBorder="1" applyAlignment="1" applyProtection="1">
      <alignment horizontal="center" vertical="center"/>
    </xf>
    <xf numFmtId="180" fontId="10" fillId="0" borderId="8" xfId="0" applyNumberFormat="1" applyFont="1" applyBorder="1" applyAlignment="1" applyProtection="1">
      <alignment horizontal="center" vertical="center" wrapText="1"/>
    </xf>
    <xf numFmtId="177" fontId="10" fillId="0" borderId="8" xfId="0" applyNumberFormat="1" applyFont="1" applyBorder="1" applyAlignment="1" applyProtection="1">
      <alignment horizontal="center" vertical="center"/>
    </xf>
    <xf numFmtId="180" fontId="13" fillId="0" borderId="8" xfId="0" applyNumberFormat="1" applyFont="1" applyBorder="1" applyAlignment="1" applyProtection="1">
      <alignment horizontal="center" vertical="center"/>
    </xf>
    <xf numFmtId="181" fontId="9" fillId="0" borderId="8" xfId="0" applyNumberFormat="1" applyFont="1" applyBorder="1" applyAlignment="1" applyProtection="1">
      <alignment horizontal="center" vertical="center"/>
    </xf>
    <xf numFmtId="181" fontId="9" fillId="5" borderId="8" xfId="0" applyNumberFormat="1" applyFont="1" applyFill="1" applyBorder="1" applyAlignment="1" applyProtection="1">
      <alignment horizontal="center" vertical="center"/>
    </xf>
    <xf numFmtId="49" fontId="6" fillId="3" borderId="6" xfId="0" applyNumberFormat="1" applyFont="1" applyFill="1" applyBorder="1" applyAlignment="1" applyProtection="1">
      <alignment horizontal="center" vertical="center" wrapText="1"/>
    </xf>
    <xf numFmtId="0" fontId="7" fillId="0" borderId="6" xfId="0" applyFont="1" applyBorder="1" applyAlignment="1" applyProtection="1">
      <alignment horizontal="center" vertical="center" wrapText="1"/>
    </xf>
    <xf numFmtId="0" fontId="10" fillId="0" borderId="8" xfId="0" applyFont="1" applyBorder="1" applyAlignment="1" applyProtection="1">
      <alignment horizontal="center" vertical="center"/>
    </xf>
    <xf numFmtId="0" fontId="0" fillId="0" borderId="0" xfId="309">
      <alignment vertical="center"/>
    </xf>
    <xf numFmtId="0" fontId="5" fillId="0" borderId="0" xfId="309" applyFont="1" applyBorder="1" applyAlignment="1" applyProtection="1">
      <alignment horizontal="center" vertical="center"/>
    </xf>
    <xf numFmtId="0" fontId="9" fillId="0" borderId="0" xfId="309" applyFont="1">
      <alignment vertical="center"/>
    </xf>
    <xf numFmtId="0" fontId="0" fillId="0" borderId="0" xfId="309" applyFont="1" applyBorder="1" applyAlignment="1" applyProtection="1">
      <alignment horizontal="center" vertical="center"/>
    </xf>
    <xf numFmtId="0" fontId="0" fillId="0" borderId="0" xfId="309" applyFont="1" applyBorder="1" applyAlignment="1" applyProtection="1">
      <alignment horizontal="center" vertical="top"/>
    </xf>
    <xf numFmtId="9" fontId="0" fillId="0" borderId="0" xfId="309" applyNumberFormat="1" applyFont="1" applyBorder="1" applyAlignment="1" applyProtection="1">
      <alignment horizontal="center" vertical="center"/>
    </xf>
    <xf numFmtId="49" fontId="0" fillId="0" borderId="0" xfId="309" applyNumberFormat="1" applyFont="1" applyBorder="1" applyAlignment="1" applyProtection="1">
      <alignment horizontal="center" vertical="center"/>
    </xf>
    <xf numFmtId="176" fontId="16" fillId="0" borderId="0" xfId="281" applyNumberFormat="1" applyFont="1" applyBorder="1" applyAlignment="1" applyProtection="1">
      <alignment horizontal="left" vertical="center"/>
    </xf>
    <xf numFmtId="176" fontId="16" fillId="0" borderId="0" xfId="281" applyNumberFormat="1" applyFont="1" applyAlignment="1" applyProtection="1">
      <alignment horizontal="left" vertical="center"/>
    </xf>
    <xf numFmtId="176" fontId="17" fillId="0" borderId="0" xfId="281" applyNumberFormat="1" applyFont="1" applyAlignment="1" applyProtection="1">
      <alignment horizontal="center" vertical="top"/>
    </xf>
    <xf numFmtId="176" fontId="7" fillId="3" borderId="8" xfId="281" applyNumberFormat="1" applyFont="1" applyFill="1" applyBorder="1" applyAlignment="1" applyProtection="1">
      <alignment horizontal="center" vertical="center"/>
    </xf>
    <xf numFmtId="0" fontId="6" fillId="3" borderId="8" xfId="281" applyFont="1" applyFill="1" applyBorder="1" applyAlignment="1" applyProtection="1">
      <alignment horizontal="center" vertical="center" wrapText="1"/>
    </xf>
    <xf numFmtId="0" fontId="6" fillId="3" borderId="8" xfId="363" applyFont="1" applyFill="1" applyBorder="1" applyAlignment="1" applyProtection="1">
      <alignment horizontal="center" vertical="center" wrapText="1"/>
    </xf>
    <xf numFmtId="0" fontId="7" fillId="3" borderId="8" xfId="363" applyFont="1" applyFill="1" applyBorder="1" applyAlignment="1" applyProtection="1">
      <alignment horizontal="center" vertical="center" wrapText="1"/>
    </xf>
    <xf numFmtId="176" fontId="9" fillId="0" borderId="7" xfId="309" applyNumberFormat="1" applyFont="1" applyBorder="1" applyAlignment="1" applyProtection="1">
      <alignment horizontal="center" vertical="center"/>
    </xf>
    <xf numFmtId="0" fontId="9" fillId="6" borderId="8" xfId="309" applyFont="1" applyFill="1" applyBorder="1" applyAlignment="1">
      <alignment horizontal="center" vertical="center" wrapText="1"/>
    </xf>
    <xf numFmtId="0" fontId="9" fillId="6" borderId="8" xfId="309" applyFont="1" applyFill="1" applyBorder="1" applyAlignment="1">
      <alignment horizontal="center" vertical="top" wrapText="1"/>
    </xf>
    <xf numFmtId="49" fontId="10" fillId="6" borderId="8" xfId="0" applyNumberFormat="1" applyFont="1" applyFill="1" applyBorder="1" applyAlignment="1">
      <alignment horizontal="center" vertical="center" wrapText="1"/>
    </xf>
    <xf numFmtId="49" fontId="10" fillId="0" borderId="9" xfId="0" applyNumberFormat="1" applyFont="1" applyBorder="1" applyAlignment="1">
      <alignment horizontal="center" vertical="center" wrapText="1"/>
    </xf>
    <xf numFmtId="0" fontId="9" fillId="6" borderId="8" xfId="309" applyFont="1" applyFill="1" applyBorder="1">
      <alignment vertical="center"/>
    </xf>
    <xf numFmtId="0" fontId="9" fillId="6" borderId="9" xfId="309" applyFont="1" applyFill="1" applyBorder="1" applyAlignment="1">
      <alignment horizontal="center" vertical="center"/>
    </xf>
    <xf numFmtId="176" fontId="18" fillId="0" borderId="8" xfId="309" applyNumberFormat="1" applyFont="1" applyBorder="1" applyAlignment="1" applyProtection="1">
      <alignment horizontal="center" vertical="center"/>
    </xf>
    <xf numFmtId="176" fontId="18" fillId="0" borderId="8" xfId="309" applyNumberFormat="1" applyFont="1" applyBorder="1" applyAlignment="1" applyProtection="1">
      <alignment horizontal="center" vertical="top"/>
    </xf>
    <xf numFmtId="0" fontId="0" fillId="0" borderId="8" xfId="309" applyFont="1" applyBorder="1" applyAlignment="1" applyProtection="1">
      <alignment horizontal="center" vertical="center"/>
    </xf>
    <xf numFmtId="176" fontId="9" fillId="0" borderId="0" xfId="309" applyNumberFormat="1" applyFont="1" applyBorder="1" applyAlignment="1" applyProtection="1">
      <alignment horizontal="center" vertical="center"/>
    </xf>
    <xf numFmtId="0" fontId="9" fillId="0" borderId="0" xfId="309" applyFont="1" applyBorder="1" applyAlignment="1" applyProtection="1">
      <alignment horizontal="center" vertical="center"/>
    </xf>
    <xf numFmtId="0" fontId="9" fillId="0" borderId="0" xfId="309" applyFont="1" applyBorder="1" applyAlignment="1" applyProtection="1">
      <alignment horizontal="center" vertical="top"/>
    </xf>
    <xf numFmtId="176" fontId="17" fillId="0" borderId="11" xfId="281" applyNumberFormat="1" applyFont="1" applyBorder="1" applyAlignment="1" applyProtection="1">
      <alignment horizontal="center" vertical="center"/>
    </xf>
    <xf numFmtId="176" fontId="17" fillId="0" borderId="0" xfId="281" applyNumberFormat="1" applyFont="1" applyBorder="1" applyAlignment="1" applyProtection="1">
      <alignment horizontal="center" vertical="center"/>
    </xf>
    <xf numFmtId="9" fontId="17" fillId="0" borderId="0" xfId="281" applyNumberFormat="1" applyFont="1" applyBorder="1" applyAlignment="1" applyProtection="1">
      <alignment horizontal="center" vertical="center"/>
    </xf>
    <xf numFmtId="0" fontId="6" fillId="3" borderId="10" xfId="363" applyFont="1" applyFill="1" applyBorder="1" applyAlignment="1" applyProtection="1">
      <alignment horizontal="center" vertical="center" wrapText="1"/>
    </xf>
    <xf numFmtId="0" fontId="7" fillId="3" borderId="10" xfId="363" applyFont="1" applyFill="1" applyBorder="1" applyAlignment="1" applyProtection="1">
      <alignment horizontal="center" vertical="center" wrapText="1"/>
    </xf>
    <xf numFmtId="9" fontId="7" fillId="3" borderId="10" xfId="363" applyNumberFormat="1" applyFont="1" applyFill="1" applyBorder="1" applyAlignment="1" applyProtection="1">
      <alignment horizontal="center" vertical="center" wrapText="1"/>
    </xf>
    <xf numFmtId="180" fontId="7" fillId="3" borderId="8" xfId="363" applyNumberFormat="1" applyFont="1" applyFill="1" applyBorder="1" applyAlignment="1" applyProtection="1">
      <alignment horizontal="center" vertical="center" wrapText="1"/>
    </xf>
    <xf numFmtId="0" fontId="7" fillId="3" borderId="8" xfId="281" applyFont="1" applyFill="1" applyBorder="1" applyAlignment="1" applyProtection="1">
      <alignment horizontal="center" vertical="center" wrapText="1"/>
    </xf>
    <xf numFmtId="184" fontId="9" fillId="6" borderId="9" xfId="309" applyNumberFormat="1" applyFont="1" applyFill="1" applyBorder="1">
      <alignment vertical="center"/>
    </xf>
    <xf numFmtId="184" fontId="9" fillId="0" borderId="9" xfId="309" applyNumberFormat="1" applyFont="1" applyBorder="1">
      <alignment vertical="center"/>
    </xf>
    <xf numFmtId="9" fontId="9" fillId="0" borderId="8" xfId="140" applyNumberFormat="1" applyFont="1" applyBorder="1" applyAlignment="1">
      <alignment horizontal="center" vertical="center"/>
    </xf>
    <xf numFmtId="178" fontId="9" fillId="0" borderId="8" xfId="140" applyNumberFormat="1" applyFont="1" applyBorder="1" applyAlignment="1">
      <alignment horizontal="center" vertical="center"/>
    </xf>
    <xf numFmtId="180" fontId="9" fillId="0" borderId="8" xfId="289" applyNumberFormat="1" applyFont="1" applyBorder="1" applyAlignment="1" applyProtection="1">
      <alignment horizontal="center" vertical="center"/>
    </xf>
    <xf numFmtId="184" fontId="9" fillId="0" borderId="8" xfId="309" applyNumberFormat="1" applyFont="1" applyBorder="1" applyAlignment="1" applyProtection="1">
      <alignment horizontal="center" vertical="center"/>
    </xf>
    <xf numFmtId="184" fontId="18" fillId="0" borderId="9" xfId="309" applyNumberFormat="1" applyFont="1" applyBorder="1">
      <alignment vertical="center"/>
    </xf>
    <xf numFmtId="9" fontId="18" fillId="0" borderId="9" xfId="309" applyNumberFormat="1" applyFont="1" applyBorder="1">
      <alignment vertical="center"/>
    </xf>
    <xf numFmtId="0" fontId="18" fillId="0" borderId="9" xfId="309" applyFont="1" applyBorder="1">
      <alignment vertical="center"/>
    </xf>
    <xf numFmtId="9" fontId="9" fillId="0" borderId="0" xfId="309" applyNumberFormat="1" applyFont="1" applyBorder="1" applyAlignment="1" applyProtection="1">
      <alignment horizontal="center" vertical="center"/>
    </xf>
    <xf numFmtId="49" fontId="6" fillId="3" borderId="8" xfId="363" applyNumberFormat="1" applyFont="1" applyFill="1" applyBorder="1" applyAlignment="1" applyProtection="1">
      <alignment horizontal="center" vertical="center" wrapText="1"/>
    </xf>
    <xf numFmtId="184" fontId="9" fillId="6" borderId="8" xfId="309" applyNumberFormat="1" applyFont="1" applyFill="1" applyBorder="1" applyAlignment="1" applyProtection="1">
      <alignment horizontal="center" vertical="center"/>
    </xf>
    <xf numFmtId="0" fontId="10" fillId="6" borderId="8" xfId="363" applyFont="1" applyFill="1" applyBorder="1" applyAlignment="1" applyProtection="1">
      <alignment horizontal="center" vertical="center" wrapText="1"/>
    </xf>
    <xf numFmtId="49" fontId="10" fillId="6" borderId="8" xfId="309" applyNumberFormat="1" applyFont="1" applyFill="1" applyBorder="1" applyAlignment="1" applyProtection="1">
      <alignment horizontal="center" vertical="center"/>
    </xf>
    <xf numFmtId="0" fontId="10" fillId="6" borderId="8" xfId="309" applyFont="1" applyFill="1" applyBorder="1" applyAlignment="1">
      <alignment horizontal="center" vertical="center"/>
    </xf>
    <xf numFmtId="49" fontId="18" fillId="0" borderId="9" xfId="309" applyNumberFormat="1" applyFont="1" applyBorder="1">
      <alignment vertical="center"/>
    </xf>
    <xf numFmtId="49" fontId="0" fillId="0" borderId="0" xfId="0" applyNumberFormat="1" applyFont="1" applyBorder="1" applyAlignment="1" applyProtection="1">
      <alignment vertical="center"/>
    </xf>
    <xf numFmtId="0" fontId="10" fillId="0" borderId="8" xfId="0" applyFont="1" applyBorder="1" applyAlignment="1">
      <alignment horizontal="center" vertical="center"/>
    </xf>
    <xf numFmtId="0" fontId="10" fillId="0" borderId="8" xfId="309" applyFont="1" applyBorder="1" applyAlignment="1">
      <alignment horizontal="center" vertical="center"/>
    </xf>
    <xf numFmtId="0" fontId="13" fillId="0" borderId="0" xfId="309" applyFont="1">
      <alignment vertical="center"/>
    </xf>
    <xf numFmtId="176" fontId="17" fillId="0" borderId="0" xfId="281" applyNumberFormat="1" applyFont="1" applyAlignment="1" applyProtection="1">
      <alignment horizontal="left" vertical="center"/>
    </xf>
    <xf numFmtId="0" fontId="8" fillId="3" borderId="8" xfId="281" applyFont="1" applyFill="1" applyBorder="1" applyAlignment="1" applyProtection="1">
      <alignment horizontal="center" vertical="center" wrapText="1"/>
    </xf>
    <xf numFmtId="176" fontId="10" fillId="0" borderId="7" xfId="309" applyNumberFormat="1" applyFont="1" applyBorder="1" applyAlignment="1" applyProtection="1">
      <alignment horizontal="center" vertical="center"/>
    </xf>
    <xf numFmtId="0" fontId="10" fillId="0" borderId="9" xfId="0" applyFont="1" applyBorder="1" applyAlignment="1">
      <alignment horizontal="center" vertical="center" wrapText="1"/>
    </xf>
    <xf numFmtId="0" fontId="0" fillId="6" borderId="8" xfId="309" applyFill="1" applyBorder="1">
      <alignment vertical="center"/>
    </xf>
    <xf numFmtId="178" fontId="9" fillId="6" borderId="8" xfId="309" applyNumberFormat="1" applyFont="1" applyFill="1" applyBorder="1">
      <alignment vertical="center"/>
    </xf>
    <xf numFmtId="0" fontId="10" fillId="6" borderId="8" xfId="309" applyFont="1" applyFill="1" applyBorder="1" applyAlignment="1">
      <alignment horizontal="center" vertical="center" wrapText="1"/>
    </xf>
    <xf numFmtId="0" fontId="10" fillId="6" borderId="8" xfId="309" applyFont="1" applyFill="1" applyBorder="1" applyAlignment="1" applyProtection="1">
      <alignment horizontal="center" vertical="center"/>
    </xf>
    <xf numFmtId="176" fontId="5" fillId="0" borderId="8" xfId="309" applyNumberFormat="1" applyFont="1" applyBorder="1" applyAlignment="1" applyProtection="1">
      <alignment horizontal="center" vertical="center"/>
    </xf>
    <xf numFmtId="176" fontId="5" fillId="0" borderId="8" xfId="309" applyNumberFormat="1" applyFont="1" applyBorder="1" applyAlignment="1" applyProtection="1">
      <alignment horizontal="center" vertical="top"/>
    </xf>
    <xf numFmtId="181" fontId="15" fillId="0" borderId="8" xfId="309" applyNumberFormat="1" applyFont="1" applyBorder="1" applyAlignment="1" applyProtection="1">
      <alignment horizontal="center" vertical="center"/>
    </xf>
    <xf numFmtId="0" fontId="11" fillId="0" borderId="0" xfId="309" applyFont="1" applyBorder="1" applyAlignment="1" applyProtection="1">
      <alignment horizontal="center" vertical="center"/>
    </xf>
    <xf numFmtId="0" fontId="19" fillId="0" borderId="0" xfId="309" applyFont="1" applyBorder="1" applyAlignment="1" applyProtection="1">
      <alignment horizontal="left" vertical="center"/>
    </xf>
    <xf numFmtId="0" fontId="11" fillId="0" borderId="0" xfId="309" applyFont="1" applyBorder="1" applyAlignment="1" applyProtection="1">
      <alignment horizontal="left" vertical="center"/>
    </xf>
    <xf numFmtId="0" fontId="13" fillId="0" borderId="0" xfId="309" applyFont="1" applyBorder="1" applyAlignment="1" applyProtection="1">
      <alignment horizontal="center" vertical="top"/>
    </xf>
    <xf numFmtId="0" fontId="13" fillId="0" borderId="0" xfId="309" applyFont="1" applyBorder="1" applyAlignment="1" applyProtection="1">
      <alignment horizontal="center" vertical="center"/>
    </xf>
    <xf numFmtId="0" fontId="14" fillId="0" borderId="0" xfId="309" applyFont="1" applyBorder="1" applyAlignment="1" applyProtection="1">
      <alignment vertical="top"/>
    </xf>
    <xf numFmtId="0" fontId="11" fillId="0" borderId="0" xfId="309" applyFont="1" applyBorder="1" applyAlignment="1" applyProtection="1">
      <alignment vertical="top"/>
    </xf>
    <xf numFmtId="0" fontId="6" fillId="3" borderId="8" xfId="0" applyFont="1" applyFill="1" applyBorder="1" applyAlignment="1" applyProtection="1">
      <alignment horizontal="center" vertical="center" wrapText="1"/>
    </xf>
    <xf numFmtId="180" fontId="10" fillId="0" borderId="8" xfId="363" applyNumberFormat="1" applyFont="1" applyBorder="1" applyAlignment="1" applyProtection="1">
      <alignment horizontal="center" vertical="center" wrapText="1"/>
    </xf>
    <xf numFmtId="9" fontId="10" fillId="0" borderId="8" xfId="308" applyFont="1" applyBorder="1" applyAlignment="1" applyProtection="1">
      <alignment horizontal="center" vertical="center"/>
    </xf>
    <xf numFmtId="180" fontId="13" fillId="0" borderId="8" xfId="289" applyNumberFormat="1" applyFont="1" applyBorder="1" applyAlignment="1" applyProtection="1">
      <alignment horizontal="center" vertical="center"/>
    </xf>
    <xf numFmtId="181" fontId="9" fillId="0" borderId="8" xfId="309" applyNumberFormat="1" applyFont="1" applyBorder="1" applyAlignment="1" applyProtection="1">
      <alignment horizontal="center" vertical="center"/>
    </xf>
    <xf numFmtId="181" fontId="9" fillId="6" borderId="8" xfId="309" applyNumberFormat="1" applyFont="1" applyFill="1" applyBorder="1" applyAlignment="1" applyProtection="1">
      <alignment horizontal="center" vertical="center"/>
    </xf>
    <xf numFmtId="181" fontId="0" fillId="0" borderId="8" xfId="309" applyNumberFormat="1" applyFont="1" applyBorder="1" applyAlignment="1" applyProtection="1">
      <alignment horizontal="center" vertical="center"/>
    </xf>
    <xf numFmtId="49" fontId="0" fillId="0" borderId="8" xfId="309" applyNumberFormat="1" applyFont="1" applyBorder="1" applyAlignment="1" applyProtection="1">
      <alignment horizontal="center" vertical="center"/>
    </xf>
    <xf numFmtId="49" fontId="13" fillId="0" borderId="0" xfId="309" applyNumberFormat="1" applyFont="1" applyBorder="1" applyAlignment="1" applyProtection="1">
      <alignment horizontal="center" vertical="center"/>
    </xf>
    <xf numFmtId="177" fontId="0" fillId="0" borderId="0" xfId="309" applyNumberFormat="1" applyFont="1" applyBorder="1" applyAlignment="1" applyProtection="1">
      <alignment horizontal="center" vertical="center"/>
    </xf>
    <xf numFmtId="0" fontId="20" fillId="0" borderId="0" xfId="0" applyFont="1">
      <alignment vertical="center"/>
    </xf>
    <xf numFmtId="0" fontId="14" fillId="0" borderId="0" xfId="309" applyFont="1" applyBorder="1" applyAlignment="1" applyProtection="1">
      <alignment horizontal="center" vertical="top"/>
    </xf>
    <xf numFmtId="177" fontId="17" fillId="0" borderId="11" xfId="281" applyNumberFormat="1" applyFont="1" applyBorder="1" applyAlignment="1" applyProtection="1">
      <alignment horizontal="center" vertical="center"/>
    </xf>
    <xf numFmtId="177" fontId="7" fillId="3" borderId="8" xfId="363" applyNumberFormat="1" applyFont="1" applyFill="1" applyBorder="1" applyAlignment="1" applyProtection="1">
      <alignment horizontal="center" vertical="center" wrapText="1"/>
    </xf>
    <xf numFmtId="177" fontId="10" fillId="0" borderId="8" xfId="308" applyNumberFormat="1" applyFont="1" applyBorder="1" applyAlignment="1" applyProtection="1">
      <alignment horizontal="center" vertical="center"/>
    </xf>
    <xf numFmtId="180" fontId="13" fillId="0" borderId="8" xfId="308" applyNumberFormat="1" applyFont="1" applyBorder="1" applyAlignment="1" applyProtection="1">
      <alignment horizontal="center" vertical="center"/>
    </xf>
    <xf numFmtId="180" fontId="13" fillId="4" borderId="8" xfId="289" applyNumberFormat="1" applyFont="1" applyFill="1" applyBorder="1" applyAlignment="1" applyProtection="1">
      <alignment horizontal="center" vertical="center"/>
    </xf>
    <xf numFmtId="177" fontId="9" fillId="0" borderId="0" xfId="309" applyNumberFormat="1" applyFont="1" applyBorder="1" applyAlignment="1" applyProtection="1">
      <alignment horizontal="center" vertical="center"/>
    </xf>
    <xf numFmtId="177" fontId="0" fillId="0" borderId="0" xfId="0" applyNumberFormat="1" applyFont="1" applyBorder="1" applyAlignment="1" applyProtection="1">
      <alignment vertical="center"/>
    </xf>
    <xf numFmtId="177" fontId="0" fillId="0" borderId="0" xfId="0" applyNumberFormat="1" applyFont="1" applyBorder="1" applyAlignment="1" applyProtection="1">
      <alignment horizontal="left" vertical="center" wrapText="1"/>
    </xf>
    <xf numFmtId="177" fontId="0" fillId="0" borderId="0" xfId="0" applyNumberFormat="1" applyFont="1" applyBorder="1" applyAlignment="1" applyProtection="1">
      <alignment vertical="center" wrapText="1"/>
    </xf>
    <xf numFmtId="177" fontId="13" fillId="0" borderId="0" xfId="309" applyNumberFormat="1" applyFont="1" applyBorder="1" applyAlignment="1" applyProtection="1">
      <alignment horizontal="center" vertical="center"/>
    </xf>
    <xf numFmtId="0" fontId="0" fillId="0" borderId="0" xfId="309" applyBorder="1">
      <alignment vertical="center"/>
    </xf>
    <xf numFmtId="0" fontId="0" fillId="7" borderId="0" xfId="309" applyFill="1">
      <alignment vertical="center"/>
    </xf>
    <xf numFmtId="0" fontId="0" fillId="8" borderId="0" xfId="309" applyFill="1">
      <alignment vertical="center"/>
    </xf>
    <xf numFmtId="0" fontId="0" fillId="0" borderId="0" xfId="309" applyAlignment="1">
      <alignment horizontal="center" vertical="center"/>
    </xf>
    <xf numFmtId="0" fontId="0" fillId="0" borderId="0" xfId="309" applyAlignment="1">
      <alignment vertical="center"/>
    </xf>
    <xf numFmtId="182" fontId="0" fillId="0" borderId="0" xfId="309" applyNumberFormat="1">
      <alignment vertical="center"/>
    </xf>
    <xf numFmtId="0" fontId="0" fillId="9" borderId="0" xfId="309" applyFill="1">
      <alignment vertical="center"/>
    </xf>
    <xf numFmtId="0" fontId="0" fillId="10" borderId="0" xfId="309" applyFill="1">
      <alignment vertical="center"/>
    </xf>
    <xf numFmtId="180" fontId="0" fillId="0" borderId="0" xfId="309" applyNumberFormat="1">
      <alignment vertical="center"/>
    </xf>
    <xf numFmtId="176" fontId="6" fillId="0" borderId="0" xfId="281" applyNumberFormat="1" applyFont="1" applyBorder="1" applyAlignment="1" applyProtection="1">
      <alignment vertical="center"/>
    </xf>
    <xf numFmtId="176" fontId="16" fillId="0" borderId="0" xfId="281" applyNumberFormat="1" applyFont="1" applyBorder="1" applyAlignment="1" applyProtection="1">
      <alignment vertical="center"/>
    </xf>
    <xf numFmtId="176" fontId="17" fillId="0" borderId="0" xfId="281" applyNumberFormat="1" applyFont="1" applyBorder="1" applyAlignment="1" applyProtection="1">
      <alignment vertical="center"/>
    </xf>
    <xf numFmtId="176" fontId="17" fillId="0" borderId="0" xfId="281" applyNumberFormat="1" applyFont="1" applyBorder="1" applyAlignment="1" applyProtection="1">
      <alignment horizontal="center" vertical="top"/>
    </xf>
    <xf numFmtId="0" fontId="0" fillId="0" borderId="0" xfId="309" applyBorder="1" applyAlignment="1">
      <alignment horizontal="center" vertical="center"/>
    </xf>
    <xf numFmtId="176" fontId="6" fillId="3" borderId="8" xfId="281" applyNumberFormat="1" applyFont="1" applyFill="1" applyBorder="1" applyAlignment="1" applyProtection="1">
      <alignment horizontal="center" vertical="center"/>
    </xf>
    <xf numFmtId="176" fontId="9" fillId="7" borderId="7" xfId="309" applyNumberFormat="1" applyFont="1" applyFill="1" applyBorder="1" applyAlignment="1" applyProtection="1">
      <alignment horizontal="center" vertical="center"/>
    </xf>
    <xf numFmtId="0" fontId="21" fillId="11" borderId="8" xfId="309" applyFont="1" applyFill="1" applyBorder="1" applyAlignment="1">
      <alignment horizontal="center" vertical="center" wrapText="1"/>
    </xf>
    <xf numFmtId="0" fontId="22" fillId="12" borderId="9" xfId="321" applyFont="1" applyFill="1" applyBorder="1" applyAlignment="1">
      <alignment horizontal="left" vertical="center"/>
    </xf>
    <xf numFmtId="49" fontId="23" fillId="0" borderId="9" xfId="309" applyNumberFormat="1" applyFont="1" applyFill="1" applyBorder="1" applyAlignment="1">
      <alignment horizontal="center" vertical="center" wrapText="1"/>
    </xf>
    <xf numFmtId="0" fontId="0" fillId="7" borderId="8" xfId="309" applyFill="1" applyBorder="1" applyAlignment="1">
      <alignment horizontal="center" vertical="center"/>
    </xf>
    <xf numFmtId="0" fontId="0" fillId="7" borderId="9" xfId="309" applyFont="1" applyFill="1" applyBorder="1">
      <alignment vertical="center"/>
    </xf>
    <xf numFmtId="0" fontId="22" fillId="12" borderId="9" xfId="264" applyFont="1" applyFill="1" applyBorder="1" applyAlignment="1">
      <alignment horizontal="left" vertical="center"/>
    </xf>
    <xf numFmtId="176" fontId="9" fillId="8" borderId="7" xfId="309" applyNumberFormat="1" applyFont="1" applyFill="1" applyBorder="1" applyAlignment="1" applyProtection="1">
      <alignment horizontal="center" vertical="center"/>
    </xf>
    <xf numFmtId="0" fontId="22" fillId="9" borderId="8" xfId="264" applyNumberFormat="1" applyFont="1" applyFill="1" applyBorder="1" applyAlignment="1">
      <alignment horizontal="left" vertical="center"/>
    </xf>
    <xf numFmtId="0" fontId="21" fillId="9" borderId="8" xfId="309" applyFont="1" applyFill="1" applyBorder="1" applyAlignment="1">
      <alignment horizontal="center" vertical="center" wrapText="1"/>
    </xf>
    <xf numFmtId="49" fontId="23" fillId="9" borderId="9" xfId="309" applyNumberFormat="1" applyFont="1" applyFill="1" applyBorder="1" applyAlignment="1">
      <alignment horizontal="center" vertical="center" wrapText="1"/>
    </xf>
    <xf numFmtId="0" fontId="0" fillId="8" borderId="8" xfId="309" applyFill="1" applyBorder="1" applyAlignment="1">
      <alignment horizontal="center" vertical="center"/>
    </xf>
    <xf numFmtId="0" fontId="0" fillId="8" borderId="9" xfId="309" applyFont="1" applyFill="1" applyBorder="1">
      <alignment vertical="center"/>
    </xf>
    <xf numFmtId="0" fontId="22" fillId="0" borderId="8" xfId="264" applyFont="1" applyFill="1" applyBorder="1" applyAlignment="1">
      <alignment horizontal="left" vertical="center"/>
    </xf>
    <xf numFmtId="49" fontId="21" fillId="11" borderId="8" xfId="309" applyNumberFormat="1" applyFont="1" applyFill="1" applyBorder="1" applyAlignment="1">
      <alignment horizontal="center" vertical="center" wrapText="1"/>
    </xf>
    <xf numFmtId="49" fontId="22" fillId="7" borderId="8" xfId="264" applyNumberFormat="1" applyFont="1" applyFill="1" applyBorder="1" applyAlignment="1">
      <alignment horizontal="left" vertical="center"/>
    </xf>
    <xf numFmtId="49" fontId="9" fillId="7" borderId="8" xfId="309" applyNumberFormat="1" applyFont="1" applyFill="1" applyBorder="1" applyAlignment="1">
      <alignment horizontal="center" vertical="center" wrapText="1"/>
    </xf>
    <xf numFmtId="0" fontId="22" fillId="7" borderId="8" xfId="264" applyFont="1" applyFill="1" applyBorder="1" applyAlignment="1">
      <alignment horizontal="left" vertical="center"/>
    </xf>
    <xf numFmtId="0" fontId="22" fillId="0" borderId="12" xfId="264" applyNumberFormat="1" applyFont="1" applyFill="1" applyBorder="1" applyAlignment="1">
      <alignment horizontal="left" vertical="center"/>
    </xf>
    <xf numFmtId="49" fontId="22" fillId="0" borderId="12" xfId="264" applyNumberFormat="1" applyFont="1" applyFill="1" applyBorder="1" applyAlignment="1" applyProtection="1">
      <alignment horizontal="center"/>
      <protection locked="0"/>
    </xf>
    <xf numFmtId="0" fontId="22" fillId="0" borderId="12" xfId="0" applyFont="1" applyFill="1" applyBorder="1" applyAlignment="1">
      <alignment horizontal="center" vertical="center"/>
    </xf>
    <xf numFmtId="0" fontId="22" fillId="13" borderId="13" xfId="321" applyFont="1" applyFill="1" applyBorder="1" applyAlignment="1">
      <alignment horizontal="left" vertical="center"/>
    </xf>
    <xf numFmtId="49" fontId="24" fillId="0" borderId="12" xfId="264" applyNumberFormat="1" applyFont="1" applyFill="1" applyBorder="1" applyAlignment="1" applyProtection="1">
      <alignment horizontal="center"/>
      <protection locked="0"/>
    </xf>
    <xf numFmtId="0" fontId="22" fillId="13" borderId="12" xfId="264" applyFont="1" applyFill="1" applyBorder="1" applyAlignment="1">
      <alignment horizontal="left" vertical="center"/>
    </xf>
    <xf numFmtId="0" fontId="22" fillId="0" borderId="14" xfId="264" applyNumberFormat="1" applyFont="1" applyFill="1" applyBorder="1" applyAlignment="1">
      <alignment horizontal="left" vertical="center"/>
    </xf>
    <xf numFmtId="0" fontId="22" fillId="0" borderId="8" xfId="0" applyFont="1" applyFill="1" applyBorder="1" applyAlignment="1">
      <alignment horizontal="center" vertical="center"/>
    </xf>
    <xf numFmtId="0" fontId="22" fillId="0" borderId="8" xfId="264" applyNumberFormat="1" applyFont="1" applyFill="1" applyBorder="1" applyAlignment="1">
      <alignment horizontal="left" vertical="center"/>
    </xf>
    <xf numFmtId="49" fontId="22" fillId="0" borderId="8" xfId="0" applyNumberFormat="1" applyFont="1" applyFill="1" applyBorder="1" applyAlignment="1">
      <alignment horizontal="center" vertical="center"/>
    </xf>
    <xf numFmtId="0" fontId="9" fillId="7" borderId="8" xfId="309" applyFont="1" applyFill="1" applyBorder="1" applyAlignment="1">
      <alignment horizontal="center" vertical="center" wrapText="1"/>
    </xf>
    <xf numFmtId="49" fontId="10" fillId="7" borderId="9" xfId="309" applyNumberFormat="1" applyFont="1" applyFill="1" applyBorder="1" applyAlignment="1">
      <alignment horizontal="center" vertical="center" wrapText="1"/>
    </xf>
    <xf numFmtId="0" fontId="10" fillId="0" borderId="8" xfId="309" applyFont="1" applyBorder="1" applyAlignment="1">
      <alignment horizontal="center" vertical="center" wrapText="1"/>
    </xf>
    <xf numFmtId="0" fontId="0" fillId="0" borderId="8" xfId="309" applyBorder="1" applyAlignment="1">
      <alignment horizontal="center" vertical="center"/>
    </xf>
    <xf numFmtId="0" fontId="0" fillId="3" borderId="8" xfId="309" applyFont="1" applyFill="1" applyBorder="1" applyAlignment="1">
      <alignment horizontal="center" vertical="center"/>
    </xf>
    <xf numFmtId="180" fontId="0" fillId="0" borderId="8" xfId="309" applyNumberFormat="1" applyFont="1" applyBorder="1" applyAlignment="1">
      <alignment horizontal="center" vertical="center"/>
    </xf>
    <xf numFmtId="180" fontId="13" fillId="0" borderId="8" xfId="309" applyNumberFormat="1" applyFont="1" applyBorder="1" applyAlignment="1">
      <alignment horizontal="center" vertical="center"/>
    </xf>
    <xf numFmtId="181" fontId="0" fillId="0" borderId="0" xfId="309" applyNumberFormat="1" applyFont="1" applyBorder="1" applyAlignment="1">
      <alignment horizontal="center" vertical="center"/>
    </xf>
    <xf numFmtId="178" fontId="6" fillId="6" borderId="0" xfId="309" applyNumberFormat="1" applyFont="1" applyFill="1" applyBorder="1" applyAlignment="1">
      <alignment vertical="center"/>
    </xf>
    <xf numFmtId="0" fontId="6" fillId="3" borderId="8" xfId="363" applyFont="1" applyFill="1" applyBorder="1" applyAlignment="1" applyProtection="1">
      <alignment vertical="center" wrapText="1"/>
    </xf>
    <xf numFmtId="178" fontId="9" fillId="7" borderId="8" xfId="309" applyNumberFormat="1" applyFont="1" applyFill="1" applyBorder="1">
      <alignment vertical="center"/>
    </xf>
    <xf numFmtId="185" fontId="10" fillId="12" borderId="8" xfId="0" applyNumberFormat="1" applyFont="1" applyFill="1" applyBorder="1" applyAlignment="1">
      <alignment vertical="center"/>
    </xf>
    <xf numFmtId="178" fontId="9" fillId="7" borderId="8" xfId="309" applyNumberFormat="1" applyFont="1" applyFill="1" applyBorder="1" applyAlignment="1">
      <alignment vertical="center"/>
    </xf>
    <xf numFmtId="178" fontId="25" fillId="11" borderId="8" xfId="309" applyNumberFormat="1" applyFont="1" applyFill="1" applyBorder="1" applyAlignment="1">
      <alignment vertical="center"/>
    </xf>
    <xf numFmtId="0" fontId="0" fillId="0" borderId="9" xfId="309" applyFont="1" applyBorder="1" applyAlignment="1" applyProtection="1">
      <alignment horizontal="center" vertical="center"/>
    </xf>
    <xf numFmtId="181" fontId="15" fillId="0" borderId="8" xfId="309" applyNumberFormat="1" applyFont="1" applyBorder="1" applyAlignment="1" applyProtection="1">
      <alignment vertical="center"/>
    </xf>
    <xf numFmtId="178" fontId="6" fillId="6" borderId="0" xfId="309" applyNumberFormat="1" applyFont="1" applyFill="1" applyBorder="1" applyAlignment="1">
      <alignment horizontal="center" vertical="center"/>
    </xf>
    <xf numFmtId="178" fontId="0" fillId="0" borderId="0" xfId="309" applyNumberFormat="1" applyFont="1" applyBorder="1" applyAlignment="1">
      <alignment horizontal="left" vertical="center"/>
    </xf>
    <xf numFmtId="178" fontId="9" fillId="7" borderId="8" xfId="309" applyNumberFormat="1" applyFont="1" applyFill="1" applyBorder="1" applyAlignment="1">
      <alignment horizontal="center" vertical="center"/>
    </xf>
    <xf numFmtId="178" fontId="9" fillId="8" borderId="8" xfId="309" applyNumberFormat="1" applyFont="1" applyFill="1" applyBorder="1" applyAlignment="1">
      <alignment horizontal="center" vertical="center"/>
    </xf>
    <xf numFmtId="178" fontId="9" fillId="8" borderId="8" xfId="309" applyNumberFormat="1" applyFont="1" applyFill="1" applyBorder="1">
      <alignment vertical="center"/>
    </xf>
    <xf numFmtId="178" fontId="25" fillId="9" borderId="8" xfId="309" applyNumberFormat="1" applyFont="1" applyFill="1" applyBorder="1" applyAlignment="1">
      <alignment vertical="center"/>
    </xf>
    <xf numFmtId="182" fontId="0" fillId="0" borderId="0" xfId="309" applyNumberFormat="1" applyFont="1" applyBorder="1" applyAlignment="1">
      <alignment horizontal="left" vertical="center"/>
    </xf>
    <xf numFmtId="182" fontId="6" fillId="3" borderId="8" xfId="363" applyNumberFormat="1" applyFont="1" applyFill="1" applyBorder="1" applyAlignment="1" applyProtection="1">
      <alignment horizontal="center" vertical="center" wrapText="1"/>
    </xf>
    <xf numFmtId="178" fontId="9" fillId="7" borderId="10" xfId="309" applyNumberFormat="1" applyFont="1" applyFill="1" applyBorder="1" applyAlignment="1">
      <alignment horizontal="center" vertical="center"/>
    </xf>
    <xf numFmtId="0" fontId="10" fillId="7" borderId="8" xfId="309" applyFont="1" applyFill="1" applyBorder="1" applyAlignment="1">
      <alignment horizontal="center" vertical="center" wrapText="1"/>
    </xf>
    <xf numFmtId="178" fontId="9" fillId="7" borderId="10" xfId="309" applyNumberFormat="1" applyFont="1" applyFill="1" applyBorder="1">
      <alignment vertical="center"/>
    </xf>
    <xf numFmtId="178" fontId="9" fillId="3" borderId="10" xfId="309" applyNumberFormat="1" applyFont="1" applyFill="1" applyBorder="1" applyAlignment="1">
      <alignment horizontal="center" vertical="center"/>
    </xf>
    <xf numFmtId="178" fontId="9" fillId="8" borderId="10" xfId="309" applyNumberFormat="1" applyFont="1" applyFill="1" applyBorder="1">
      <alignment vertical="center"/>
    </xf>
    <xf numFmtId="182" fontId="0" fillId="0" borderId="0" xfId="0" applyNumberFormat="1" applyFont="1" applyBorder="1" applyAlignment="1" applyProtection="1">
      <alignment vertical="center"/>
    </xf>
    <xf numFmtId="181" fontId="9" fillId="7" borderId="10" xfId="309" applyNumberFormat="1" applyFont="1" applyFill="1" applyBorder="1" applyAlignment="1" applyProtection="1">
      <alignment horizontal="center" vertical="center"/>
    </xf>
    <xf numFmtId="180" fontId="13" fillId="7" borderId="8" xfId="289" applyNumberFormat="1" applyFont="1" applyFill="1" applyBorder="1" applyAlignment="1" applyProtection="1">
      <alignment horizontal="center" vertical="center"/>
    </xf>
    <xf numFmtId="178" fontId="9" fillId="8" borderId="10" xfId="309" applyNumberFormat="1" applyFont="1" applyFill="1" applyBorder="1" applyAlignment="1">
      <alignment horizontal="center" vertical="center"/>
    </xf>
    <xf numFmtId="181" fontId="9" fillId="8" borderId="10" xfId="309" applyNumberFormat="1" applyFont="1" applyFill="1" applyBorder="1" applyAlignment="1" applyProtection="1">
      <alignment horizontal="center" vertical="center"/>
    </xf>
    <xf numFmtId="180" fontId="13" fillId="8" borderId="8" xfId="289" applyNumberFormat="1" applyFont="1" applyFill="1" applyBorder="1" applyAlignment="1" applyProtection="1">
      <alignment horizontal="center" vertical="center"/>
    </xf>
    <xf numFmtId="181" fontId="9" fillId="0" borderId="0" xfId="309" applyNumberFormat="1" applyFont="1" applyBorder="1" applyAlignment="1" applyProtection="1">
      <alignment horizontal="center" vertical="center"/>
    </xf>
    <xf numFmtId="176" fontId="17" fillId="9" borderId="0" xfId="281" applyNumberFormat="1" applyFont="1" applyFill="1" applyBorder="1" applyAlignment="1" applyProtection="1">
      <alignment horizontal="center" vertical="center"/>
    </xf>
    <xf numFmtId="176" fontId="17" fillId="10" borderId="0" xfId="281" applyNumberFormat="1" applyFont="1" applyFill="1" applyBorder="1" applyAlignment="1" applyProtection="1">
      <alignment horizontal="center" vertical="center"/>
    </xf>
    <xf numFmtId="180" fontId="17" fillId="0" borderId="0" xfId="281" applyNumberFormat="1" applyFont="1" applyBorder="1" applyAlignment="1" applyProtection="1">
      <alignment horizontal="center" vertical="center" wrapText="1"/>
    </xf>
    <xf numFmtId="180" fontId="7" fillId="9" borderId="8" xfId="363" applyNumberFormat="1" applyFont="1" applyFill="1" applyBorder="1" applyAlignment="1" applyProtection="1">
      <alignment horizontal="center" vertical="center" wrapText="1"/>
    </xf>
    <xf numFmtId="180" fontId="7" fillId="10" borderId="8" xfId="363" applyNumberFormat="1" applyFont="1" applyFill="1" applyBorder="1" applyAlignment="1" applyProtection="1">
      <alignment horizontal="center" vertical="center" wrapText="1"/>
    </xf>
    <xf numFmtId="180" fontId="6" fillId="3" borderId="8" xfId="281" applyNumberFormat="1" applyFont="1" applyFill="1" applyBorder="1" applyAlignment="1" applyProtection="1">
      <alignment horizontal="center" vertical="center" wrapText="1"/>
    </xf>
    <xf numFmtId="180" fontId="10" fillId="9" borderId="8" xfId="363" applyNumberFormat="1" applyFont="1" applyFill="1" applyBorder="1" applyAlignment="1" applyProtection="1">
      <alignment horizontal="center" vertical="center"/>
    </xf>
    <xf numFmtId="180" fontId="10" fillId="10" borderId="8" xfId="363" applyNumberFormat="1" applyFont="1" applyFill="1" applyBorder="1" applyAlignment="1" applyProtection="1">
      <alignment horizontal="center" vertical="center"/>
    </xf>
    <xf numFmtId="181" fontId="9" fillId="7" borderId="8" xfId="309" applyNumberFormat="1" applyFont="1" applyFill="1" applyBorder="1" applyAlignment="1" applyProtection="1">
      <alignment horizontal="center" vertical="center"/>
    </xf>
    <xf numFmtId="180" fontId="10" fillId="7" borderId="8" xfId="309" applyNumberFormat="1" applyFont="1" applyFill="1" applyBorder="1" applyAlignment="1">
      <alignment horizontal="center" vertical="center" wrapText="1"/>
    </xf>
    <xf numFmtId="181" fontId="9" fillId="8" borderId="8" xfId="309" applyNumberFormat="1" applyFont="1" applyFill="1" applyBorder="1" applyAlignment="1" applyProtection="1">
      <alignment horizontal="center" vertical="center"/>
    </xf>
    <xf numFmtId="180" fontId="10" fillId="8" borderId="8" xfId="309" applyNumberFormat="1" applyFont="1" applyFill="1" applyBorder="1" applyAlignment="1">
      <alignment horizontal="center" vertical="center" wrapText="1"/>
    </xf>
    <xf numFmtId="0" fontId="0" fillId="9" borderId="0" xfId="0" applyFont="1" applyFill="1" applyBorder="1" applyAlignment="1" applyProtection="1">
      <alignment vertical="center"/>
    </xf>
    <xf numFmtId="0" fontId="0" fillId="10" borderId="0" xfId="0" applyFont="1" applyFill="1" applyBorder="1" applyAlignment="1" applyProtection="1">
      <alignment vertical="center"/>
    </xf>
    <xf numFmtId="180" fontId="0" fillId="0" borderId="0" xfId="0" applyNumberFormat="1" applyFont="1" applyBorder="1" applyAlignment="1" applyProtection="1">
      <alignment vertical="center"/>
    </xf>
    <xf numFmtId="0" fontId="10" fillId="7" borderId="8" xfId="309" applyFont="1" applyFill="1" applyBorder="1" applyAlignment="1">
      <alignment horizontal="center" vertical="center"/>
    </xf>
    <xf numFmtId="0" fontId="10" fillId="8" borderId="8" xfId="309" applyFont="1" applyFill="1" applyBorder="1" applyAlignment="1">
      <alignment horizontal="center" vertical="center"/>
    </xf>
    <xf numFmtId="0" fontId="21" fillId="9" borderId="8" xfId="309" applyFont="1" applyFill="1" applyBorder="1" applyAlignment="1" quotePrefix="1">
      <alignment horizontal="center" vertical="center" wrapText="1"/>
    </xf>
    <xf numFmtId="0" fontId="22" fillId="0" borderId="8" xfId="0" applyFont="1" applyFill="1" applyBorder="1" applyAlignment="1" quotePrefix="1">
      <alignment horizontal="center" vertical="center"/>
    </xf>
  </cellXfs>
  <cellStyles count="484">
    <cellStyle name="常规" xfId="0" builtinId="0"/>
    <cellStyle name="货币[0]" xfId="1" builtinId="7"/>
    <cellStyle name="输入" xfId="2" builtinId="20"/>
    <cellStyle name="强调文字颜色 2 3 2" xfId="3"/>
    <cellStyle name="20% - 强调文字颜色 3" xfId="4" builtinId="38"/>
    <cellStyle name="链接单元格 5" xfId="5"/>
    <cellStyle name="输出 3" xfId="6"/>
    <cellStyle name="链接单元格 3 2" xfId="7"/>
    <cellStyle name="20% - 强调文字颜色 1 2" xfId="8"/>
    <cellStyle name="货币" xfId="9" builtinId="4"/>
    <cellStyle name="适中 2 3" xfId="10"/>
    <cellStyle name="强调文字颜色 3 2 2" xfId="11"/>
    <cellStyle name="40% - 强调文字颜色 6 3" xfId="12"/>
    <cellStyle name=" 3]&#13;&#10;Zoomed=1&#13;&#10;Row=128&#13;&#10;Column=101&#13;&#10;Height=300&#13;&#10;Width=301&#13;&#10;FontName=System&#13;&#10;FontStyle=1&#13;&#10;FontSize=12&#13;&#10;PrtFontNa" xfId="13"/>
    <cellStyle name="千位分隔[0]" xfId="14" builtinId="6"/>
    <cellStyle name="常规 3 4 3" xfId="15"/>
    <cellStyle name="千位分隔" xfId="16" builtinId="3"/>
    <cellStyle name="常规 7 3" xfId="17"/>
    <cellStyle name="40% - 强调文字颜色 3" xfId="18" builtinId="39"/>
    <cellStyle name="计算 2" xfId="19"/>
    <cellStyle name="差" xfId="20" builtinId="27"/>
    <cellStyle name="超链接" xfId="21" builtinId="8"/>
    <cellStyle name="60% - 强调文字颜色 6 3 2" xfId="22"/>
    <cellStyle name="60% - 强调文字颜色 3" xfId="23" builtinId="40"/>
    <cellStyle name="输出 2 3 2" xfId="24"/>
    <cellStyle name="20% - 强调文字颜色 2 3 2" xfId="25"/>
    <cellStyle name="百分比" xfId="26" builtinId="5"/>
    <cellStyle name="20% - 强调文字颜色 2 2 2" xfId="27"/>
    <cellStyle name="输出 2 2 2" xfId="28"/>
    <cellStyle name="已访问的超链接" xfId="29" builtinId="9"/>
    <cellStyle name="20% - 强调文字颜色 4 5" xfId="30"/>
    <cellStyle name="60% - 强调文字颜色 2 3" xfId="31"/>
    <cellStyle name="常规 6" xfId="32"/>
    <cellStyle name="注释" xfId="33" builtinId="10"/>
    <cellStyle name="60% - 强调文字颜色 2" xfId="34" builtinId="36"/>
    <cellStyle name="解释性文本 2 2" xfId="35"/>
    <cellStyle name="标题 4" xfId="36" builtinId="19"/>
    <cellStyle name="注释 5" xfId="37"/>
    <cellStyle name="警告文本" xfId="38" builtinId="11"/>
    <cellStyle name="60% - 强调文字颜色 2 2 2" xfId="39"/>
    <cellStyle name="常规 5 2" xfId="40"/>
    <cellStyle name="强调文字颜色 1 2 3" xfId="41"/>
    <cellStyle name="标题" xfId="42" builtinId="15"/>
    <cellStyle name="解释性文本" xfId="43" builtinId="53"/>
    <cellStyle name="百分比 4" xfId="44"/>
    <cellStyle name="标题 1" xfId="45" builtinId="16"/>
    <cellStyle name="标题 2" xfId="46" builtinId="17"/>
    <cellStyle name="60% - 强调文字颜色 1" xfId="47" builtinId="32"/>
    <cellStyle name="标题 3" xfId="48" builtinId="18"/>
    <cellStyle name="注释 3 2 2" xfId="49"/>
    <cellStyle name="60% - 强调文字颜色 4" xfId="50" builtinId="44"/>
    <cellStyle name="输出 2 4 2" xfId="51"/>
    <cellStyle name="输出" xfId="52" builtinId="21"/>
    <cellStyle name="计算" xfId="53" builtinId="22"/>
    <cellStyle name="40% - 强调文字颜色 4 2" xfId="54"/>
    <cellStyle name="计算 3 2" xfId="55"/>
    <cellStyle name="检查单元格" xfId="56" builtinId="23"/>
    <cellStyle name="常规 8 3" xfId="57"/>
    <cellStyle name="20% - 强调文字颜色 6" xfId="58" builtinId="50"/>
    <cellStyle name="强调文字颜色 2" xfId="59" builtinId="33"/>
    <cellStyle name="注释 2 3" xfId="60"/>
    <cellStyle name="链接单元格" xfId="61" builtinId="24"/>
    <cellStyle name="40% - 强调文字颜色 6 5" xfId="62"/>
    <cellStyle name="60% - 强调文字颜色 4 2 3" xfId="63"/>
    <cellStyle name="汇总" xfId="64" builtinId="25"/>
    <cellStyle name="好" xfId="65" builtinId="26"/>
    <cellStyle name="20% - 强调文字颜色 3 3" xfId="66"/>
    <cellStyle name="输出 3 3" xfId="67"/>
    <cellStyle name="适中" xfId="68" builtinId="28"/>
    <cellStyle name="常规 8 2" xfId="69"/>
    <cellStyle name="输出 5" xfId="70"/>
    <cellStyle name="20% - 强调文字颜色 5" xfId="71" builtinId="46"/>
    <cellStyle name="检查单元格 3 2" xfId="72"/>
    <cellStyle name="强调文字颜色 1" xfId="73" builtinId="29"/>
    <cellStyle name="注释 2 3 3" xfId="74"/>
    <cellStyle name="链接单元格 3" xfId="75"/>
    <cellStyle name="20% - 强调文字颜色 1" xfId="76" builtinId="30"/>
    <cellStyle name="40% - 强调文字颜色 4 3 2" xfId="77"/>
    <cellStyle name="??&amp;O龡&amp;H?_x0008_??_x0007__x0001__x0001_" xfId="78"/>
    <cellStyle name="汇总 3 3" xfId="79"/>
    <cellStyle name="40% - 强调文字颜色 1" xfId="80" builtinId="31"/>
    <cellStyle name="输出 2" xfId="81"/>
    <cellStyle name="链接单元格 4" xfId="82"/>
    <cellStyle name="20% - 强调文字颜色 2" xfId="83" builtinId="34"/>
    <cellStyle name="40% - 强调文字颜色 2" xfId="84" builtinId="35"/>
    <cellStyle name="强调文字颜色 3" xfId="85" builtinId="37"/>
    <cellStyle name="强调文字颜色 4" xfId="86" builtinId="41"/>
    <cellStyle name="汇总 3 2 2" xfId="87"/>
    <cellStyle name="输出 4" xfId="88"/>
    <cellStyle name="20% - 强调文字颜色 4" xfId="89" builtinId="42"/>
    <cellStyle name="计算 3" xfId="90"/>
    <cellStyle name="40% - 强调文字颜色 4" xfId="91" builtinId="43"/>
    <cellStyle name="强调文字颜色 5" xfId="92" builtinId="45"/>
    <cellStyle name="计算 4" xfId="93"/>
    <cellStyle name="40% - 强调文字颜色 5" xfId="94" builtinId="47"/>
    <cellStyle name="注释 3 2 3" xfId="95"/>
    <cellStyle name="60% - 强调文字颜色 5" xfId="96" builtinId="48"/>
    <cellStyle name="强调文字颜色 6" xfId="97" builtinId="49"/>
    <cellStyle name="0,0&#13;&#10;NA&#13;&#10;" xfId="98"/>
    <cellStyle name="20% - 强调文字颜色 3 3 2" xfId="99"/>
    <cellStyle name="计算 5" xfId="100"/>
    <cellStyle name="输出 3 3 2" xfId="101"/>
    <cellStyle name="适中 2" xfId="102"/>
    <cellStyle name="40% - 强调文字颜色 6" xfId="103" builtinId="51"/>
    <cellStyle name="60% - 强调文字颜色 6" xfId="104" builtinId="52"/>
    <cellStyle name="20% - 强调文字颜色 1 5" xfId="105"/>
    <cellStyle name="好 2" xfId="106"/>
    <cellStyle name="20% - 强调文字颜色 2 3" xfId="107"/>
    <cellStyle name="输出 2 3" xfId="108"/>
    <cellStyle name="20% - 强调文字颜色 1 2 3" xfId="109"/>
    <cellStyle name="40% - 强调文字颜色 2 2" xfId="110"/>
    <cellStyle name="_ET_STYLE_NoName_00__南区长促工资1004_5" xfId="111"/>
    <cellStyle name="20% - 强调文字颜色 1 4" xfId="112"/>
    <cellStyle name="0,0&#10;&#10;NA&#10;&#10;" xfId="113"/>
    <cellStyle name="40% - 强调文字颜色 5 3" xfId="114"/>
    <cellStyle name="输入 2 3 2" xfId="115"/>
    <cellStyle name="20% - 强调文字颜色 1 3" xfId="116"/>
    <cellStyle name="20% - 强调文字颜色 1 2 2" xfId="117"/>
    <cellStyle name="常规 2 3 2 3" xfId="118"/>
    <cellStyle name="20% - 强调文字颜色 1 3 2" xfId="119"/>
    <cellStyle name="20% - 强调文字颜色 2 2" xfId="120"/>
    <cellStyle name="输出 2 2" xfId="121"/>
    <cellStyle name="20% - 强调文字颜色 2 2 3" xfId="122"/>
    <cellStyle name="输出 2 2 3" xfId="123"/>
    <cellStyle name="20% - 强调文字颜色 2 4" xfId="124"/>
    <cellStyle name="输出 2 4" xfId="125"/>
    <cellStyle name="20% - 强调文字颜色 2 5" xfId="126"/>
    <cellStyle name="输出 2 5" xfId="127"/>
    <cellStyle name="20% - 强调文字颜色 3 2" xfId="128"/>
    <cellStyle name="输出 3 2" xfId="129"/>
    <cellStyle name="20% - 强调文字颜色 3 2 2" xfId="130"/>
    <cellStyle name="输出 3 2 2" xfId="131"/>
    <cellStyle name="20% - 强调文字颜色 3 2 3" xfId="132"/>
    <cellStyle name="输出 3 2 3" xfId="133"/>
    <cellStyle name="20% - 强调文字颜色 3 4" xfId="134"/>
    <cellStyle name="60% - 强调文字颜色 1 2" xfId="135"/>
    <cellStyle name="输出 3 4" xfId="136"/>
    <cellStyle name="20% - 强调文字颜色 3 5" xfId="137"/>
    <cellStyle name="60% - 强调文字颜色 1 3" xfId="138"/>
    <cellStyle name="20% - 强调文字颜色 4 2" xfId="139"/>
    <cellStyle name="常规 3" xfId="140"/>
    <cellStyle name="输出 4 2" xfId="141"/>
    <cellStyle name="20% - 强调文字颜色 4 2 2" xfId="142"/>
    <cellStyle name="常规 3 2" xfId="143"/>
    <cellStyle name="输出 4 2 2" xfId="144"/>
    <cellStyle name="20% - 强调文字颜色 4 2 3" xfId="145"/>
    <cellStyle name="常规 3 3" xfId="146"/>
    <cellStyle name="输入 4 2" xfId="147"/>
    <cellStyle name="20% - 强调文字颜色 4 3" xfId="148"/>
    <cellStyle name="常规 4" xfId="149"/>
    <cellStyle name="输出 4 3" xfId="150"/>
    <cellStyle name="20% - 强调文字颜色 4 3 2" xfId="151"/>
    <cellStyle name="常规 4 2" xfId="152"/>
    <cellStyle name="20% - 强调文字颜色 4 4" xfId="153"/>
    <cellStyle name="60% - 强调文字颜色 2 2" xfId="154"/>
    <cellStyle name="常规 5" xfId="155"/>
    <cellStyle name="20% - 强调文字颜色 5 2" xfId="156"/>
    <cellStyle name="输出 5 2" xfId="157"/>
    <cellStyle name="20% - 强调文字颜色 5 2 2" xfId="158"/>
    <cellStyle name="3232" xfId="159"/>
    <cellStyle name="输出 5 2 2" xfId="160"/>
    <cellStyle name="20% - 强调文字颜色 5 2 3" xfId="161"/>
    <cellStyle name="20% - 强调文字颜色 5 3" xfId="162"/>
    <cellStyle name="输出 5 3" xfId="163"/>
    <cellStyle name="20% - 强调文字颜色 5 3 2" xfId="164"/>
    <cellStyle name="差 5" xfId="165"/>
    <cellStyle name="百分比 3" xfId="166"/>
    <cellStyle name="20% - 强调文字颜色 5 4" xfId="167"/>
    <cellStyle name="60% - 强调文字颜色 3 2" xfId="168"/>
    <cellStyle name="20% - 强调文字颜色 5 5" xfId="169"/>
    <cellStyle name="60% - 强调文字颜色 3 3" xfId="170"/>
    <cellStyle name="20% - 强调文字颜色 6 2" xfId="171"/>
    <cellStyle name="20% - 强调文字颜色 6 2 2" xfId="172"/>
    <cellStyle name="40% - 强调文字颜色 4 4" xfId="173"/>
    <cellStyle name="20% - 强调文字颜色 6 2 3" xfId="174"/>
    <cellStyle name="40% - 强调文字颜色 4 5" xfId="175"/>
    <cellStyle name="20% - 强调文字颜色 6 3" xfId="176"/>
    <cellStyle name="20% - 强调文字颜色 6 3 2" xfId="177"/>
    <cellStyle name="40% - 强调文字颜色 5 4" xfId="178"/>
    <cellStyle name="20% - 强调文字颜色 6 4" xfId="179"/>
    <cellStyle name="60% - 强调文字颜色 4 2" xfId="180"/>
    <cellStyle name="注释 3 2 2 2" xfId="181"/>
    <cellStyle name="20% - 强调文字颜色 6 5" xfId="182"/>
    <cellStyle name="40% - 强调文字颜色 5 2 2" xfId="183"/>
    <cellStyle name="60% - 强调文字颜色 4 3" xfId="184"/>
    <cellStyle name="40% - 强调文字颜色 1 2" xfId="185"/>
    <cellStyle name="40% - 强调文字颜色 1 2 2" xfId="186"/>
    <cellStyle name="40% - 强调文字颜色 1 2 3" xfId="187"/>
    <cellStyle name="40% - 强调文字颜色 1 3" xfId="188"/>
    <cellStyle name="40% - 强调文字颜色 1 3 2" xfId="189"/>
    <cellStyle name="40% - 强调文字颜色 1 4" xfId="190"/>
    <cellStyle name="40% - 强调文字颜色 1 5" xfId="191"/>
    <cellStyle name="40% - 强调文字颜色 2 2 2" xfId="192"/>
    <cellStyle name="40% - 强调文字颜色 2 2 3" xfId="193"/>
    <cellStyle name="40% - 强调文字颜色 2 3" xfId="194"/>
    <cellStyle name="40% - 强调文字颜色 2 3 2" xfId="195"/>
    <cellStyle name="40% - 强调文字颜色 2 4" xfId="196"/>
    <cellStyle name="40% - 强调文字颜色 2 5" xfId="197"/>
    <cellStyle name="40% - 强调文字颜色 3 2" xfId="198"/>
    <cellStyle name="计算 2 2" xfId="199"/>
    <cellStyle name="40% - 强调文字颜色 3 2 2" xfId="200"/>
    <cellStyle name="计算 2 2 2" xfId="201"/>
    <cellStyle name="40% - 强调文字颜色 3 2 3" xfId="202"/>
    <cellStyle name="40% - 强调文字颜色 3 3" xfId="203"/>
    <cellStyle name="计算 2 3" xfId="204"/>
    <cellStyle name="40% - 强调文字颜色 3 3 2" xfId="205"/>
    <cellStyle name="计算 2 3 2" xfId="206"/>
    <cellStyle name="40% - 强调文字颜色 3 4" xfId="207"/>
    <cellStyle name="计算 2 4" xfId="208"/>
    <cellStyle name="40% - 强调文字颜色 3 5" xfId="209"/>
    <cellStyle name="40% - 强调文字颜色 4 2 2" xfId="210"/>
    <cellStyle name="标题 4 4" xfId="211"/>
    <cellStyle name="检查单元格 2" xfId="212"/>
    <cellStyle name="汇总 2 3" xfId="213"/>
    <cellStyle name="计算 3 2 2" xfId="214"/>
    <cellStyle name="40% - 强调文字颜色 4 2 3" xfId="215"/>
    <cellStyle name="标题 4 5" xfId="216"/>
    <cellStyle name="检查单元格 3" xfId="217"/>
    <cellStyle name="汇总 2 4" xfId="218"/>
    <cellStyle name="40% - 强调文字颜色 4 3" xfId="219"/>
    <cellStyle name="计算 3 3" xfId="220"/>
    <cellStyle name="输入 2 2 2" xfId="221"/>
    <cellStyle name="40% - 强调文字颜色 5 2" xfId="222"/>
    <cellStyle name="好 2 3" xfId="223"/>
    <cellStyle name="计算 4 2" xfId="224"/>
    <cellStyle name="40% - 强调文字颜色 5 2 3" xfId="225"/>
    <cellStyle name="60% - 强调文字颜色 4 4" xfId="226"/>
    <cellStyle name="40% - 强调文字颜色 5 3 2" xfId="227"/>
    <cellStyle name="60% - 强调文字颜色 5 3" xfId="228"/>
    <cellStyle name="40% - 强调文字颜色 5 5" xfId="229"/>
    <cellStyle name="40% - 强调文字颜色 6 2" xfId="230"/>
    <cellStyle name="计算 5 2" xfId="231"/>
    <cellStyle name="适中 2 2" xfId="232"/>
    <cellStyle name="40% - 强调文字颜色 6 2 2" xfId="233"/>
    <cellStyle name="40% - 强调文字颜色 6 2 3" xfId="234"/>
    <cellStyle name="40% - 强调文字颜色 6 3 2" xfId="235"/>
    <cellStyle name="解释性文本 3" xfId="236"/>
    <cellStyle name="40% - 强调文字颜色 6 4" xfId="237"/>
    <cellStyle name="60% - 强调文字颜色 4 2 2" xfId="238"/>
    <cellStyle name="强调文字颜色 3 2 3" xfId="239"/>
    <cellStyle name="60% - 强调文字颜色 1 2 2" xfId="240"/>
    <cellStyle name="60% - 强调文字颜色 1 2 3" xfId="241"/>
    <cellStyle name="60% - 强调文字颜色 1 3 2" xfId="242"/>
    <cellStyle name="60% - 强调文字颜色 1 4" xfId="243"/>
    <cellStyle name="60% - 强调文字颜色 1 5" xfId="244"/>
    <cellStyle name="注释 5 2 2" xfId="245"/>
    <cellStyle name="警告文本 2 2" xfId="246"/>
    <cellStyle name="60% - 强调文字颜色 2 2 3" xfId="247"/>
    <cellStyle name="60% - 强调文字颜色 2 3 2" xfId="248"/>
    <cellStyle name="常规 6 2" xfId="249"/>
    <cellStyle name="注释 2" xfId="250"/>
    <cellStyle name="60% - 强调文字颜色 2 4" xfId="251"/>
    <cellStyle name="常规 7" xfId="252"/>
    <cellStyle name="60% - 强调文字颜色 2 5" xfId="253"/>
    <cellStyle name="常规 8" xfId="254"/>
    <cellStyle name="警告文本 3 2" xfId="255"/>
    <cellStyle name="60% - 强调文字颜色 3 2 2" xfId="256"/>
    <cellStyle name="强调文字颜色 2 2 3" xfId="257"/>
    <cellStyle name="60% - 强调文字颜色 3 2 3" xfId="258"/>
    <cellStyle name="60% - 强调文字颜色 3 3 2" xfId="259"/>
    <cellStyle name="60% - 强调文字颜色 3 4" xfId="260"/>
    <cellStyle name="60% - 强调文字颜色 3 5" xfId="261"/>
    <cellStyle name="60% - 强调文字颜色 4 3 2" xfId="262"/>
    <cellStyle name="60% - 强调文字颜色 4 5" xfId="263"/>
    <cellStyle name="常规_创联至信12年工资表sn803808" xfId="264"/>
    <cellStyle name="60% - 强调文字颜色 5 2" xfId="265"/>
    <cellStyle name="60% - 强调文字颜色 5 2 2" xfId="266"/>
    <cellStyle name="强调文字颜色 4 2 3" xfId="267"/>
    <cellStyle name="60% - 强调文字颜色 5 2 3" xfId="268"/>
    <cellStyle name="60% - 强调文字颜色 5 3 2" xfId="269"/>
    <cellStyle name="60% - 强调文字颜色 5 4" xfId="270"/>
    <cellStyle name="60% - 强调文字颜色 5 5" xfId="271"/>
    <cellStyle name="60% - 强调文字颜色 6 2" xfId="272"/>
    <cellStyle name="60% - 强调文字颜色 6 2 2" xfId="273"/>
    <cellStyle name="常规 3 5 3" xfId="274"/>
    <cellStyle name="强调文字颜色 5 2 3" xfId="275"/>
    <cellStyle name="60% - 强调文字颜色 6 2 3" xfId="276"/>
    <cellStyle name="Normal_08'前程工资8月" xfId="277"/>
    <cellStyle name="60% - 强调文字颜色 6 3" xfId="278"/>
    <cellStyle name="60% - 强调文字颜色 6 4" xfId="279"/>
    <cellStyle name="60% - 强调文字颜色 6 5" xfId="280"/>
    <cellStyle name="??_x005F_x0011_?_x005F_x0010_?" xfId="281"/>
    <cellStyle name="差 2 3" xfId="282"/>
    <cellStyle name="_ET_STYLE_NoName_-01_ 3 3 3 2" xfId="283"/>
    <cellStyle name="强调文字颜色 2 5" xfId="284"/>
    <cellStyle name="汇总 4 2" xfId="285"/>
    <cellStyle name="_ET_STYLE_NoName_00_" xfId="286"/>
    <cellStyle name="标题 4 2 2" xfId="287"/>
    <cellStyle name="_ET_STYLE_NoName_00__北区长促工资1004_3" xfId="288"/>
    <cellStyle name="Comma_SALARYBJ" xfId="289"/>
    <cellStyle name="警告文本 2 3" xfId="290"/>
    <cellStyle name="千位分隔 2" xfId="291"/>
    <cellStyle name="千位分隔 2 2" xfId="292"/>
    <cellStyle name="千位分隔 3" xfId="293"/>
    <cellStyle name="标题 4 2" xfId="294"/>
    <cellStyle name="好 2 2" xfId="295"/>
    <cellStyle name="好 3" xfId="296"/>
    <cellStyle name="好 3 2" xfId="297"/>
    <cellStyle name="标题 2 2 3" xfId="298"/>
    <cellStyle name="好 4" xfId="299"/>
    <cellStyle name="好 5" xfId="300"/>
    <cellStyle name="标题 3 2 2" xfId="301"/>
    <cellStyle name="差 2" xfId="302"/>
    <cellStyle name="解释性文本 5" xfId="303"/>
    <cellStyle name="差 2 2" xfId="304"/>
    <cellStyle name="差 3" xfId="305"/>
    <cellStyle name="差 3 2" xfId="306"/>
    <cellStyle name="差 4" xfId="307"/>
    <cellStyle name="百分比 2" xfId="308"/>
    <cellStyle name="常规 11" xfId="309"/>
    <cellStyle name="标题 2 3 2" xfId="310"/>
    <cellStyle name="常规 11 2" xfId="311"/>
    <cellStyle name="常规 11 3" xfId="312"/>
    <cellStyle name="常规 2 3 2 2" xfId="313"/>
    <cellStyle name="常规 12" xfId="314"/>
    <cellStyle name="常规 12 2" xfId="315"/>
    <cellStyle name="常规 12 3" xfId="316"/>
    <cellStyle name="常规 14" xfId="317"/>
    <cellStyle name="强调文字颜色 3 3 2" xfId="318"/>
    <cellStyle name="常规 14 2" xfId="319"/>
    <cellStyle name="常规 14 3" xfId="320"/>
    <cellStyle name="常规 2" xfId="321"/>
    <cellStyle name="常规 2 2" xfId="322"/>
    <cellStyle name="常规 2 2 2" xfId="323"/>
    <cellStyle name="常规 2 2 2 2" xfId="324"/>
    <cellStyle name="常规 2 2 3" xfId="325"/>
    <cellStyle name="常规 2 3" xfId="326"/>
    <cellStyle name="输入 3 2" xfId="327"/>
    <cellStyle name="常规 2 3 2" xfId="328"/>
    <cellStyle name="输入 3 2 2" xfId="329"/>
    <cellStyle name="常规 2 3 3" xfId="330"/>
    <cellStyle name="常规 2 3 4" xfId="331"/>
    <cellStyle name="常规 2 4" xfId="332"/>
    <cellStyle name="输入 3 3" xfId="333"/>
    <cellStyle name="常规 2 4 2" xfId="334"/>
    <cellStyle name="常规 2 5" xfId="335"/>
    <cellStyle name="强调文字颜色 4 2" xfId="336"/>
    <cellStyle name="常规 2 5 2" xfId="337"/>
    <cellStyle name="强调文字颜色 4 2 2" xfId="338"/>
    <cellStyle name="常规 2 6" xfId="339"/>
    <cellStyle name="强调文字颜色 4 3" xfId="340"/>
    <cellStyle name="常规 2 6 2" xfId="341"/>
    <cellStyle name="强调文字颜色 4 3 2" xfId="342"/>
    <cellStyle name="常规 2 6 2 2" xfId="343"/>
    <cellStyle name="常规 27" xfId="344"/>
    <cellStyle name="常规 3 2 2" xfId="345"/>
    <cellStyle name="适中 4" xfId="346"/>
    <cellStyle name="常规 3 3 2" xfId="347"/>
    <cellStyle name="常规 3 3 3" xfId="348"/>
    <cellStyle name="常规 3 4" xfId="349"/>
    <cellStyle name="常规 3 4 2" xfId="350"/>
    <cellStyle name="常规 3 5" xfId="351"/>
    <cellStyle name="强调文字颜色 5 2" xfId="352"/>
    <cellStyle name="常规 3 5 2" xfId="353"/>
    <cellStyle name="强调文字颜色 5 2 2" xfId="354"/>
    <cellStyle name="常规 4 2 2" xfId="355"/>
    <cellStyle name="常规 4 4" xfId="356"/>
    <cellStyle name="常规 4 3" xfId="357"/>
    <cellStyle name="输入 5 2" xfId="358"/>
    <cellStyle name="常规 7 2" xfId="359"/>
    <cellStyle name="常规 8 4" xfId="360"/>
    <cellStyle name="强调文字颜色 6 3 2" xfId="361"/>
    <cellStyle name="常规 9" xfId="362"/>
    <cellStyle name="常规_付款通知书智联（神数系统）" xfId="363"/>
    <cellStyle name="注释 5 2" xfId="364"/>
    <cellStyle name="警告文本 2" xfId="365"/>
    <cellStyle name="强调文字颜色 1 2" xfId="366"/>
    <cellStyle name="强调文字颜色 1 2 2" xfId="367"/>
    <cellStyle name="强调文字颜色 1 3" xfId="368"/>
    <cellStyle name="强调文字颜色 1 3 2" xfId="369"/>
    <cellStyle name="强调文字颜色 1 4" xfId="370"/>
    <cellStyle name="标题 5 2" xfId="371"/>
    <cellStyle name="强调文字颜色 1 5" xfId="372"/>
    <cellStyle name="标题 5 3" xfId="373"/>
    <cellStyle name="汇总 3 2" xfId="374"/>
    <cellStyle name="强调文字颜色 2 2" xfId="375"/>
    <cellStyle name="强调文字颜色 2 2 2" xfId="376"/>
    <cellStyle name="强调文字颜色 2 3" xfId="377"/>
    <cellStyle name="强调文字颜色 2 4" xfId="378"/>
    <cellStyle name="标题 6 2" xfId="379"/>
    <cellStyle name="强调文字颜色 3 2" xfId="380"/>
    <cellStyle name="输入 2 4" xfId="381"/>
    <cellStyle name="强调文字颜色 3 3" xfId="382"/>
    <cellStyle name="强调文字颜色 3 4" xfId="383"/>
    <cellStyle name="强调文字颜色 3 5" xfId="384"/>
    <cellStyle name="汇总 5 2" xfId="385"/>
    <cellStyle name="强调文字颜色 4 4" xfId="386"/>
    <cellStyle name="强调文字颜色 4 5" xfId="387"/>
    <cellStyle name="输入 2" xfId="388"/>
    <cellStyle name="强调文字颜色 5 3" xfId="389"/>
    <cellStyle name="强调文字颜色 5 3 2" xfId="390"/>
    <cellStyle name="强调文字颜色 5 4" xfId="391"/>
    <cellStyle name="强调文字颜色 5 5" xfId="392"/>
    <cellStyle name="强调文字颜色 6 2" xfId="393"/>
    <cellStyle name="强调文字颜色 6 2 2" xfId="394"/>
    <cellStyle name="强调文字颜色 6 2 3" xfId="395"/>
    <cellStyle name="强调文字颜色 6 3" xfId="396"/>
    <cellStyle name="强调文字颜色 6 4" xfId="397"/>
    <cellStyle name="强调文字颜色 6 5" xfId="398"/>
    <cellStyle name="标题 1 2" xfId="399"/>
    <cellStyle name="标题 1 2 2" xfId="400"/>
    <cellStyle name="标题 1 2 3" xfId="401"/>
    <cellStyle name="标题 1 3" xfId="402"/>
    <cellStyle name="标题 1 3 2" xfId="403"/>
    <cellStyle name="汇总 3" xfId="404"/>
    <cellStyle name="标题 1 4" xfId="405"/>
    <cellStyle name="标题 1 5" xfId="406"/>
    <cellStyle name="标题 2 2" xfId="407"/>
    <cellStyle name="标题 2 2 2" xfId="408"/>
    <cellStyle name="标题 2 3" xfId="409"/>
    <cellStyle name="标题 2 4" xfId="410"/>
    <cellStyle name="标题 2 5" xfId="411"/>
    <cellStyle name="标题 3 2" xfId="412"/>
    <cellStyle name="标题 3 2 3" xfId="413"/>
    <cellStyle name="标题 3 3" xfId="414"/>
    <cellStyle name="标题 3 3 2" xfId="415"/>
    <cellStyle name="样式 1" xfId="416"/>
    <cellStyle name="标题 3 4" xfId="417"/>
    <cellStyle name="标题 3 5" xfId="418"/>
    <cellStyle name="标题 4 2 3" xfId="419"/>
    <cellStyle name="标题 4 3" xfId="420"/>
    <cellStyle name="汇总 2 2" xfId="421"/>
    <cellStyle name="标题 4 3 2" xfId="422"/>
    <cellStyle name="汇总 2 2 2" xfId="423"/>
    <cellStyle name="标题 5" xfId="424"/>
    <cellStyle name="解释性文本 2 3" xfId="425"/>
    <cellStyle name="标题 6" xfId="426"/>
    <cellStyle name="标题 7" xfId="427"/>
    <cellStyle name="注释 2 4 2" xfId="428"/>
    <cellStyle name="标题 8" xfId="429"/>
    <cellStyle name="样式 1 2" xfId="430"/>
    <cellStyle name="样式 2" xfId="431"/>
    <cellStyle name="样式 2 2" xfId="432"/>
    <cellStyle name="样式 2 3" xfId="433"/>
    <cellStyle name="样式 2 4" xfId="434"/>
    <cellStyle name="输入 2 2" xfId="435"/>
    <cellStyle name="样式 2 5" xfId="436"/>
    <cellStyle name="输入 2 3" xfId="437"/>
    <cellStyle name="检查单元格 2 2" xfId="438"/>
    <cellStyle name="汇总 2 3 2" xfId="439"/>
    <cellStyle name="检查单元格 2 3" xfId="440"/>
    <cellStyle name="检查单元格 4" xfId="441"/>
    <cellStyle name="检查单元格 5" xfId="442"/>
    <cellStyle name="汇总 2" xfId="443"/>
    <cellStyle name="汇总 4" xfId="444"/>
    <cellStyle name="汇总 5" xfId="445"/>
    <cellStyle name="注释 2 2" xfId="446"/>
    <cellStyle name="注释 2 2 2" xfId="447"/>
    <cellStyle name="注释 2 2 2 2" xfId="448"/>
    <cellStyle name="注释 2 2 3" xfId="449"/>
    <cellStyle name="注释 2 3 2" xfId="450"/>
    <cellStyle name="链接单元格 2" xfId="451"/>
    <cellStyle name="注释 2 3 2 2" xfId="452"/>
    <cellStyle name="链接单元格 2 2" xfId="453"/>
    <cellStyle name="注释 2 4" xfId="454"/>
    <cellStyle name="注释 2 5" xfId="455"/>
    <cellStyle name="注释 3" xfId="456"/>
    <cellStyle name="注释 3 2" xfId="457"/>
    <cellStyle name="注释 3 3" xfId="458"/>
    <cellStyle name="注释 3 3 2" xfId="459"/>
    <cellStyle name="注释 3 4" xfId="460"/>
    <cellStyle name="注释 4" xfId="461"/>
    <cellStyle name="注释 4 2" xfId="462"/>
    <cellStyle name="注释 4 2 2" xfId="463"/>
    <cellStyle name="注释 4 3" xfId="464"/>
    <cellStyle name="注释 5 3" xfId="465"/>
    <cellStyle name="警告文本 3" xfId="466"/>
    <cellStyle name="百分比 2 2" xfId="467"/>
    <cellStyle name="解释性文本 2" xfId="468"/>
    <cellStyle name="解释性文本 3 2" xfId="469"/>
    <cellStyle name="解释性文本 4" xfId="470"/>
    <cellStyle name="警告文本 4" xfId="471"/>
    <cellStyle name="警告文本 5" xfId="472"/>
    <cellStyle name="输入 3" xfId="473"/>
    <cellStyle name="输入 4" xfId="474"/>
    <cellStyle name="输入 5" xfId="475"/>
    <cellStyle name="输出 2 2 2 2" xfId="476"/>
    <cellStyle name="输出 2 3 2 2" xfId="477"/>
    <cellStyle name="输出 2 3 3" xfId="478"/>
    <cellStyle name="输出 3 2 2 2" xfId="479"/>
    <cellStyle name="适中 3" xfId="480"/>
    <cellStyle name="适中 3 2" xfId="481"/>
    <cellStyle name="适中 5" xfId="482"/>
    <cellStyle name="链接单元格 2 3" xfId="483"/>
  </cellStyles>
  <dxfs count="2">
    <dxf>
      <font>
        <color rgb="FF9C0006"/>
      </font>
      <fill>
        <patternFill patternType="solid">
          <bgColor rgb="FFFFC7CE"/>
        </patternFill>
      </fill>
    </dxf>
    <dxf>
      <font>
        <name val="Arial"/>
        <scheme val="none"/>
        <charset val="1"/>
        <family val="0"/>
        <b val="0"/>
        <i val="0"/>
        <strike val="0"/>
        <u val="none"/>
        <sz val="10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9C0006"/>
      <rgbColor rgb="00008000"/>
      <rgbColor rgb="00000080"/>
      <rgbColor rgb="00808000"/>
      <rgbColor rgb="00800080"/>
      <rgbColor rgb="0000B050"/>
      <rgbColor rgb="00C0C0C0"/>
      <rgbColor rgb="00808080"/>
      <rgbColor rgb="008EB4E3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C7CE"/>
      <rgbColor rgb="0000FFFF"/>
      <rgbColor rgb="00800080"/>
      <rgbColor rgb="00800000"/>
      <rgbColor rgb="00008080"/>
      <rgbColor rgb="000000FF"/>
      <rgbColor rgb="00B7DEE8"/>
      <rgbColor rgb="00DBEEF4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2D050"/>
      <rgbColor rgb="00FFCC00"/>
      <rgbColor rgb="00FF9900"/>
      <rgbColor rgb="00FF6600"/>
      <rgbColor rgb="00A6A6A6"/>
      <rgbColor rgb="00969696"/>
      <rgbColor rgb="00003366"/>
      <rgbColor rgb="00339966"/>
      <rgbColor rgb="00003300"/>
      <rgbColor rgb="002C2C2C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haredStrings" Target="sharedStrings.xml"/><Relationship Id="rId17" Type="http://schemas.openxmlformats.org/officeDocument/2006/relationships/styles" Target="styles.xml"/><Relationship Id="rId16" Type="http://schemas.openxmlformats.org/officeDocument/2006/relationships/theme" Target="theme/theme1.xml"/><Relationship Id="rId15" Type="http://schemas.openxmlformats.org/officeDocument/2006/relationships/externalLink" Target="externalLinks/externalLink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1019;&#32852;&#33268;&#20449;2021&#24180;02-1&#26032;&#26376;&#20221;&#24037;&#36164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1年02月份"/>
      <sheetName val="等级"/>
    </sheetNames>
    <sheetDataSet>
      <sheetData sheetId="0">
        <row r="10">
          <cell r="E10" t="str">
            <v>张忠强</v>
          </cell>
        </row>
        <row r="10">
          <cell r="G10">
            <v>41275</v>
          </cell>
          <cell r="H10">
            <v>12000</v>
          </cell>
          <cell r="I10">
            <v>8000</v>
          </cell>
        </row>
        <row r="10">
          <cell r="K10">
            <v>-1440</v>
          </cell>
          <cell r="L10">
            <v>18560</v>
          </cell>
        </row>
        <row r="11">
          <cell r="E11" t="str">
            <v>蔡建</v>
          </cell>
        </row>
        <row r="11">
          <cell r="G11">
            <v>41275</v>
          </cell>
          <cell r="H11">
            <v>8006.4</v>
          </cell>
          <cell r="I11">
            <v>5337.6</v>
          </cell>
        </row>
        <row r="11">
          <cell r="K11">
            <v>-1440</v>
          </cell>
          <cell r="L11">
            <v>11904</v>
          </cell>
        </row>
        <row r="12">
          <cell r="E12" t="str">
            <v>鲍爽</v>
          </cell>
          <cell r="F12" t="str">
            <v>研发</v>
          </cell>
          <cell r="G12">
            <v>41275</v>
          </cell>
          <cell r="H12">
            <v>8788.026</v>
          </cell>
          <cell r="I12">
            <v>5858.684</v>
          </cell>
        </row>
        <row r="12">
          <cell r="K12">
            <v>-2646.71</v>
          </cell>
          <cell r="L12">
            <v>12000</v>
          </cell>
        </row>
        <row r="13">
          <cell r="E13" t="str">
            <v>翟东冉</v>
          </cell>
          <cell r="F13" t="str">
            <v>研发</v>
          </cell>
        </row>
        <row r="13">
          <cell r="H13">
            <v>12600</v>
          </cell>
          <cell r="I13">
            <v>8400</v>
          </cell>
        </row>
        <row r="13">
          <cell r="K13">
            <v>-720</v>
          </cell>
          <cell r="L13">
            <v>20280</v>
          </cell>
        </row>
        <row r="14">
          <cell r="E14" t="str">
            <v>韩健</v>
          </cell>
          <cell r="F14" t="str">
            <v>研发</v>
          </cell>
        </row>
        <row r="14">
          <cell r="H14">
            <v>9300</v>
          </cell>
          <cell r="I14">
            <v>4960</v>
          </cell>
        </row>
        <row r="14">
          <cell r="K14">
            <v>-1926.71</v>
          </cell>
          <cell r="L14">
            <v>12333.29</v>
          </cell>
        </row>
        <row r="15">
          <cell r="E15" t="str">
            <v>张超</v>
          </cell>
          <cell r="F15" t="str">
            <v>研发</v>
          </cell>
        </row>
        <row r="15">
          <cell r="H15">
            <v>6300</v>
          </cell>
          <cell r="I15">
            <v>5040</v>
          </cell>
        </row>
        <row r="15">
          <cell r="K15">
            <v>-1926.71</v>
          </cell>
          <cell r="L15">
            <v>9413.29</v>
          </cell>
        </row>
        <row r="16">
          <cell r="E16" t="str">
            <v>刘建军</v>
          </cell>
        </row>
        <row r="16">
          <cell r="G16" t="str">
            <v>2020.10.19入职</v>
          </cell>
          <cell r="H16">
            <v>4565.21739130435</v>
          </cell>
          <cell r="I16">
            <v>3043.47826086957</v>
          </cell>
        </row>
        <row r="16">
          <cell r="K16">
            <v>-480</v>
          </cell>
          <cell r="L16">
            <v>7128.69565217391</v>
          </cell>
        </row>
        <row r="17">
          <cell r="E17" t="str">
            <v>孟天骄</v>
          </cell>
        </row>
        <row r="17">
          <cell r="G17" t="str">
            <v>2019.12.9</v>
          </cell>
          <cell r="H17">
            <v>3286.95652173913</v>
          </cell>
          <cell r="I17">
            <v>0</v>
          </cell>
        </row>
        <row r="17">
          <cell r="K17">
            <v>-480</v>
          </cell>
          <cell r="L17">
            <v>2806.95652173913</v>
          </cell>
        </row>
        <row r="18">
          <cell r="E18" t="str">
            <v>徐俊峰</v>
          </cell>
        </row>
        <row r="18">
          <cell r="H18">
            <v>7200</v>
          </cell>
          <cell r="I18">
            <v>4800</v>
          </cell>
        </row>
        <row r="18">
          <cell r="K18">
            <v>0</v>
          </cell>
          <cell r="L18">
            <v>12000</v>
          </cell>
        </row>
        <row r="19">
          <cell r="E19" t="str">
            <v>刘朋林</v>
          </cell>
        </row>
        <row r="19">
          <cell r="H19">
            <v>3000</v>
          </cell>
          <cell r="I19">
            <v>2000</v>
          </cell>
        </row>
        <row r="19">
          <cell r="K19">
            <v>0</v>
          </cell>
          <cell r="L19">
            <v>5000</v>
          </cell>
        </row>
        <row r="20">
          <cell r="E20" t="str">
            <v>刘媛媛</v>
          </cell>
        </row>
        <row r="20">
          <cell r="H20">
            <v>2400</v>
          </cell>
          <cell r="I20">
            <v>1600</v>
          </cell>
        </row>
        <row r="20">
          <cell r="K20">
            <v>0</v>
          </cell>
          <cell r="L20">
            <v>4000</v>
          </cell>
        </row>
        <row r="21">
          <cell r="E21" t="str">
            <v>王彦群</v>
          </cell>
        </row>
        <row r="21">
          <cell r="H21">
            <v>2400</v>
          </cell>
          <cell r="I21">
            <v>1600</v>
          </cell>
        </row>
        <row r="21">
          <cell r="K21">
            <v>0</v>
          </cell>
          <cell r="L21">
            <v>4000</v>
          </cell>
        </row>
        <row r="22">
          <cell r="E22" t="str">
            <v>陈敬康</v>
          </cell>
          <cell r="F22" t="str">
            <v>研发</v>
          </cell>
        </row>
        <row r="22">
          <cell r="H22">
            <v>2941.30434782609</v>
          </cell>
          <cell r="I22">
            <v>2200</v>
          </cell>
        </row>
        <row r="22">
          <cell r="K22">
            <v>-480</v>
          </cell>
          <cell r="L22">
            <v>4661.30434782609</v>
          </cell>
        </row>
        <row r="23">
          <cell r="E23" t="str">
            <v>杨霞</v>
          </cell>
        </row>
        <row r="23">
          <cell r="H23">
            <v>5808</v>
          </cell>
          <cell r="I23">
            <v>3872</v>
          </cell>
        </row>
        <row r="23">
          <cell r="K23">
            <v>-480</v>
          </cell>
          <cell r="L23">
            <v>9200</v>
          </cell>
        </row>
        <row r="24">
          <cell r="E24" t="str">
            <v>王琪</v>
          </cell>
          <cell r="F24" t="str">
            <v>研发</v>
          </cell>
        </row>
        <row r="24">
          <cell r="H24">
            <v>12600</v>
          </cell>
          <cell r="I24">
            <v>8400</v>
          </cell>
          <cell r="J24">
            <v>2000</v>
          </cell>
          <cell r="K24">
            <v>-720</v>
          </cell>
          <cell r="L24">
            <v>22280</v>
          </cell>
        </row>
        <row r="25">
          <cell r="E25" t="str">
            <v>李忠建</v>
          </cell>
          <cell r="F25" t="str">
            <v>研发</v>
          </cell>
        </row>
        <row r="25">
          <cell r="H25">
            <v>10200</v>
          </cell>
          <cell r="I25">
            <v>6800</v>
          </cell>
          <cell r="J25">
            <v>2400</v>
          </cell>
          <cell r="K25">
            <v>-540</v>
          </cell>
          <cell r="L25">
            <v>18860</v>
          </cell>
        </row>
        <row r="26">
          <cell r="E26" t="str">
            <v>柴永强</v>
          </cell>
          <cell r="F26" t="str">
            <v>研发</v>
          </cell>
        </row>
        <row r="26">
          <cell r="H26">
            <v>9600</v>
          </cell>
          <cell r="I26">
            <v>7680</v>
          </cell>
        </row>
        <row r="26">
          <cell r="K26">
            <v>-540</v>
          </cell>
          <cell r="L26">
            <v>16740</v>
          </cell>
        </row>
        <row r="27">
          <cell r="E27" t="str">
            <v>崔晓成</v>
          </cell>
          <cell r="F27" t="str">
            <v>研发</v>
          </cell>
        </row>
        <row r="27">
          <cell r="H27">
            <v>6900</v>
          </cell>
          <cell r="I27">
            <v>3680</v>
          </cell>
          <cell r="J27">
            <v>480</v>
          </cell>
        </row>
        <row r="27">
          <cell r="L27">
            <v>11060</v>
          </cell>
        </row>
        <row r="28">
          <cell r="E28" t="str">
            <v>高宏博</v>
          </cell>
          <cell r="F28" t="str">
            <v>研发</v>
          </cell>
        </row>
        <row r="28">
          <cell r="H28">
            <v>6600</v>
          </cell>
          <cell r="I28">
            <v>3680</v>
          </cell>
          <cell r="J28">
            <v>2080</v>
          </cell>
          <cell r="K28">
            <v>-480</v>
          </cell>
          <cell r="L28">
            <v>11880</v>
          </cell>
        </row>
        <row r="29">
          <cell r="E29" t="str">
            <v>张西芳</v>
          </cell>
        </row>
        <row r="29">
          <cell r="G29" t="str">
            <v>2020.1.2入职</v>
          </cell>
          <cell r="H29">
            <v>435</v>
          </cell>
          <cell r="I29">
            <v>290</v>
          </cell>
        </row>
        <row r="29">
          <cell r="L29">
            <v>725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comments" Target="../comments3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comments" Target="../comments4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comments" Target="../comments5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AMK41"/>
  <sheetViews>
    <sheetView tabSelected="1" workbookViewId="0">
      <pane xSplit="6" ySplit="3" topLeftCell="AO4" activePane="bottomRight" state="frozen"/>
      <selection/>
      <selection pane="topRight"/>
      <selection pane="bottomLeft"/>
      <selection pane="bottomRight" activeCell="A5" sqref="$A5:$XFD5"/>
    </sheetView>
  </sheetViews>
  <sheetFormatPr defaultColWidth="9" defaultRowHeight="13.5"/>
  <cols>
    <col min="1" max="1" width="2.875" style="57" customWidth="1"/>
    <col min="2" max="2" width="12.6166666666667" style="57" customWidth="1"/>
    <col min="3" max="3" width="7" style="57" customWidth="1"/>
    <col min="4" max="4" width="6.25" style="57" customWidth="1"/>
    <col min="5" max="5" width="19.5083333333333" style="57" customWidth="1"/>
    <col min="6" max="6" width="3.25" style="57" customWidth="1"/>
    <col min="7" max="7" width="11.8833333333333" style="155" customWidth="1"/>
    <col min="8" max="8" width="4.63333333333333" style="57" hidden="1" customWidth="1"/>
    <col min="9" max="9" width="5.25833333333333" style="57" hidden="1" customWidth="1"/>
    <col min="10" max="10" width="4.75833333333333" style="57" customWidth="1"/>
    <col min="11" max="11" width="5.25833333333333" style="57" customWidth="1"/>
    <col min="12" max="12" width="11.7583333333333" style="57" customWidth="1"/>
    <col min="13" max="13" width="10.6166666666667" style="156" customWidth="1" outlineLevel="1"/>
    <col min="14" max="14" width="10.1166666666667" style="156" customWidth="1" outlineLevel="1"/>
    <col min="15" max="15" width="10" style="156" customWidth="1" outlineLevel="1"/>
    <col min="16" max="16" width="11.1166666666667" style="156" customWidth="1" outlineLevel="1"/>
    <col min="17" max="17" width="8" style="57" customWidth="1" outlineLevel="1"/>
    <col min="18" max="18" width="10.3833333333333" style="57" customWidth="1"/>
    <col min="19" max="19" width="10.8833333333333" style="57" customWidth="1" outlineLevel="1"/>
    <col min="20" max="20" width="10.7583333333333" style="57" customWidth="1" outlineLevel="1"/>
    <col min="21" max="21" width="9.75" style="57" customWidth="1" outlineLevel="1"/>
    <col min="22" max="22" width="9.88333333333333" style="57" customWidth="1" outlineLevel="1"/>
    <col min="23" max="23" width="9.75" style="57" customWidth="1" outlineLevel="1"/>
    <col min="24" max="24" width="9" style="57" customWidth="1" outlineLevel="1"/>
    <col min="25" max="25" width="11.1166666666667" style="57" customWidth="1"/>
    <col min="26" max="26" width="7" style="57" customWidth="1"/>
    <col min="27" max="27" width="3.75" style="157" customWidth="1"/>
    <col min="28" max="28" width="13.375" style="57" customWidth="1"/>
    <col min="29" max="29" width="14.125" style="57" customWidth="1"/>
    <col min="30" max="30" width="12.2583333333333" style="57" customWidth="1"/>
    <col min="31" max="32" width="10.5" style="57" customWidth="1" outlineLevel="1"/>
    <col min="33" max="33" width="10.25" style="57" customWidth="1" outlineLevel="1"/>
    <col min="34" max="34" width="10.75" style="57" customWidth="1" outlineLevel="1"/>
    <col min="35" max="35" width="10.625" style="57" customWidth="1" outlineLevel="1"/>
    <col min="36" max="36" width="6.125" style="57" customWidth="1" outlineLevel="1"/>
    <col min="37" max="37" width="11.25" style="57" customWidth="1"/>
    <col min="38" max="38" width="5.875" style="57" customWidth="1"/>
    <col min="39" max="39" width="12.625" style="57"/>
    <col min="40" max="40" width="11.5" style="57"/>
    <col min="41" max="41" width="10.5" style="158" customWidth="1"/>
    <col min="42" max="42" width="12.2583333333333" style="159" customWidth="1"/>
    <col min="43" max="43" width="12.625" style="57"/>
    <col min="44" max="44" width="7.88333333333333" style="160" customWidth="1"/>
    <col min="45" max="45" width="12.625" style="57"/>
    <col min="46" max="46" width="9" style="57" customWidth="1"/>
    <col min="47" max="47" width="12.625" style="57"/>
    <col min="48" max="49" width="9" style="57" customWidth="1"/>
    <col min="50" max="50" width="15.5" style="57" customWidth="1"/>
    <col min="51" max="51" width="17.8916666666667" style="57" customWidth="1"/>
    <col min="52" max="52" width="9" style="57" customWidth="1"/>
    <col min="53" max="53" width="7" style="57" customWidth="1"/>
    <col min="54" max="54" width="6.75833333333333" style="57" customWidth="1"/>
    <col min="55" max="55" width="6.13333333333333" style="57" customWidth="1"/>
    <col min="56" max="1025" width="9" style="57" customWidth="1"/>
  </cols>
  <sheetData>
    <row r="1" s="152" customFormat="1" ht="29.25" customHeight="1" spans="1:54">
      <c r="A1" s="161" t="s">
        <v>0</v>
      </c>
      <c r="B1" s="162"/>
      <c r="C1" s="163"/>
      <c r="D1" s="164"/>
      <c r="E1" s="60"/>
      <c r="F1" s="60"/>
      <c r="G1" s="165"/>
      <c r="L1" s="85"/>
      <c r="M1" s="203" t="s">
        <v>1</v>
      </c>
      <c r="N1" s="203"/>
      <c r="O1" s="203"/>
      <c r="P1" s="203"/>
      <c r="Q1" s="211"/>
      <c r="R1" s="212"/>
      <c r="S1" s="212"/>
      <c r="T1" s="212"/>
      <c r="U1" s="212"/>
      <c r="V1" s="212"/>
      <c r="W1" s="212"/>
      <c r="X1" s="212"/>
      <c r="Y1" s="212"/>
      <c r="Z1" s="212"/>
      <c r="AA1" s="217"/>
      <c r="AB1" s="212"/>
      <c r="AC1" s="212"/>
      <c r="AD1" s="212"/>
      <c r="AE1" s="212"/>
      <c r="AF1" s="212"/>
      <c r="AG1" s="212"/>
      <c r="AH1" s="212"/>
      <c r="AI1" s="212"/>
      <c r="AJ1" s="212"/>
      <c r="AK1" s="212"/>
      <c r="AL1" s="212"/>
      <c r="AM1" s="85"/>
      <c r="AN1" s="85"/>
      <c r="AO1" s="231"/>
      <c r="AP1" s="232"/>
      <c r="AQ1" s="85"/>
      <c r="AR1" s="233"/>
      <c r="AS1" s="85"/>
      <c r="AT1" s="85"/>
      <c r="AU1" s="85"/>
      <c r="AV1" s="60"/>
      <c r="AW1" s="60"/>
      <c r="AX1" s="63"/>
      <c r="AY1" s="60"/>
      <c r="AZ1" s="60"/>
      <c r="BA1" s="60"/>
      <c r="BB1" s="60"/>
    </row>
    <row r="2" s="58" customFormat="1" ht="20.1" customHeight="1" spans="1:55">
      <c r="A2" s="67" t="s">
        <v>2</v>
      </c>
      <c r="B2" s="166" t="s">
        <v>3</v>
      </c>
      <c r="C2" s="113" t="s">
        <v>4</v>
      </c>
      <c r="D2" s="113" t="s">
        <v>5</v>
      </c>
      <c r="E2" s="69" t="s">
        <v>6</v>
      </c>
      <c r="F2" s="70" t="s">
        <v>7</v>
      </c>
      <c r="G2" s="69" t="s">
        <v>8</v>
      </c>
      <c r="H2" s="69" t="s">
        <v>9</v>
      </c>
      <c r="I2" s="69" t="s">
        <v>10</v>
      </c>
      <c r="J2" s="69" t="s">
        <v>11</v>
      </c>
      <c r="K2" s="69" t="s">
        <v>12</v>
      </c>
      <c r="L2" s="69" t="s">
        <v>13</v>
      </c>
      <c r="M2" s="204" t="s">
        <v>14</v>
      </c>
      <c r="N2" s="204"/>
      <c r="O2" s="204"/>
      <c r="P2" s="204"/>
      <c r="Q2" s="69"/>
      <c r="R2" s="70" t="s">
        <v>15</v>
      </c>
      <c r="S2" s="69" t="s">
        <v>16</v>
      </c>
      <c r="T2" s="69"/>
      <c r="U2" s="69"/>
      <c r="V2" s="69"/>
      <c r="W2" s="69"/>
      <c r="X2" s="69"/>
      <c r="Y2" s="70" t="s">
        <v>17</v>
      </c>
      <c r="Z2" s="69" t="s">
        <v>18</v>
      </c>
      <c r="AA2" s="218" t="s">
        <v>19</v>
      </c>
      <c r="AB2" s="70" t="s">
        <v>20</v>
      </c>
      <c r="AC2" s="90" t="s">
        <v>21</v>
      </c>
      <c r="AD2" s="70" t="s">
        <v>22</v>
      </c>
      <c r="AE2" s="70" t="s">
        <v>23</v>
      </c>
      <c r="AF2" s="70"/>
      <c r="AG2" s="70"/>
      <c r="AH2" s="70"/>
      <c r="AI2" s="70"/>
      <c r="AJ2" s="70"/>
      <c r="AK2" s="70" t="s">
        <v>24</v>
      </c>
      <c r="AL2" s="70" t="s">
        <v>25</v>
      </c>
      <c r="AM2" s="90" t="s">
        <v>26</v>
      </c>
      <c r="AN2" s="90" t="s">
        <v>27</v>
      </c>
      <c r="AO2" s="234" t="s">
        <v>28</v>
      </c>
      <c r="AP2" s="235" t="s">
        <v>29</v>
      </c>
      <c r="AQ2" s="91" t="s">
        <v>30</v>
      </c>
      <c r="AR2" s="236" t="s">
        <v>31</v>
      </c>
      <c r="AS2" s="91" t="s">
        <v>32</v>
      </c>
      <c r="AT2" s="68" t="s">
        <v>33</v>
      </c>
      <c r="AU2" s="91" t="s">
        <v>34</v>
      </c>
      <c r="AV2" s="69" t="s">
        <v>35</v>
      </c>
      <c r="AW2" s="69" t="s">
        <v>36</v>
      </c>
      <c r="AX2" s="102" t="s">
        <v>37</v>
      </c>
      <c r="AY2" s="69" t="s">
        <v>38</v>
      </c>
      <c r="AZ2" s="69" t="s">
        <v>39</v>
      </c>
      <c r="BA2" s="70" t="s">
        <v>40</v>
      </c>
      <c r="BB2" s="70" t="s">
        <v>41</v>
      </c>
      <c r="BC2" s="70" t="s">
        <v>42</v>
      </c>
    </row>
    <row r="3" s="58" customFormat="1" ht="27" customHeight="1" spans="1:55">
      <c r="A3" s="67"/>
      <c r="B3" s="166"/>
      <c r="C3" s="113"/>
      <c r="D3" s="113"/>
      <c r="E3" s="69"/>
      <c r="F3" s="70"/>
      <c r="G3" s="69"/>
      <c r="H3" s="69"/>
      <c r="I3" s="69"/>
      <c r="J3" s="69"/>
      <c r="K3" s="69"/>
      <c r="L3" s="69"/>
      <c r="M3" s="204" t="s">
        <v>43</v>
      </c>
      <c r="N3" s="204" t="s">
        <v>44</v>
      </c>
      <c r="O3" s="204" t="s">
        <v>45</v>
      </c>
      <c r="P3" s="204" t="s">
        <v>46</v>
      </c>
      <c r="Q3" s="69" t="s">
        <v>47</v>
      </c>
      <c r="R3" s="70"/>
      <c r="S3" s="69" t="s">
        <v>48</v>
      </c>
      <c r="T3" s="69" t="s">
        <v>49</v>
      </c>
      <c r="U3" s="69" t="s">
        <v>50</v>
      </c>
      <c r="V3" s="69" t="s">
        <v>51</v>
      </c>
      <c r="W3" s="69" t="s">
        <v>52</v>
      </c>
      <c r="X3" s="69" t="s">
        <v>53</v>
      </c>
      <c r="Y3" s="70"/>
      <c r="Z3" s="69"/>
      <c r="AA3" s="218"/>
      <c r="AB3" s="70"/>
      <c r="AC3" s="90"/>
      <c r="AD3" s="70"/>
      <c r="AE3" s="70" t="s">
        <v>48</v>
      </c>
      <c r="AF3" s="70" t="s">
        <v>49</v>
      </c>
      <c r="AG3" s="70" t="s">
        <v>50</v>
      </c>
      <c r="AH3" s="70" t="s">
        <v>51</v>
      </c>
      <c r="AI3" s="70" t="s">
        <v>52</v>
      </c>
      <c r="AJ3" s="70" t="s">
        <v>53</v>
      </c>
      <c r="AK3" s="70"/>
      <c r="AL3" s="70"/>
      <c r="AM3" s="90"/>
      <c r="AN3" s="90"/>
      <c r="AO3" s="234"/>
      <c r="AP3" s="235"/>
      <c r="AQ3" s="91"/>
      <c r="AR3" s="236"/>
      <c r="AS3" s="91"/>
      <c r="AT3" s="68"/>
      <c r="AU3" s="91"/>
      <c r="AV3" s="69"/>
      <c r="AW3" s="69"/>
      <c r="AX3" s="102"/>
      <c r="AY3" s="69"/>
      <c r="AZ3" s="69"/>
      <c r="BA3" s="70"/>
      <c r="BB3" s="70"/>
      <c r="BC3" s="70"/>
    </row>
    <row r="4" s="153" customFormat="1" ht="18" customHeight="1" spans="1:55">
      <c r="A4" s="167">
        <v>1</v>
      </c>
      <c r="B4" s="168" t="s">
        <v>54</v>
      </c>
      <c r="C4" s="169" t="s">
        <v>55</v>
      </c>
      <c r="D4" s="168" t="s">
        <v>56</v>
      </c>
      <c r="E4" s="168" t="s">
        <v>57</v>
      </c>
      <c r="F4" s="170" t="str">
        <f t="shared" ref="F4:F11" si="0">IF(MOD(MID(E4,17,1),2)=1,"男","女")</f>
        <v>男</v>
      </c>
      <c r="G4" s="171"/>
      <c r="H4" s="172" t="s">
        <v>58</v>
      </c>
      <c r="I4" s="172" t="s">
        <v>58</v>
      </c>
      <c r="J4" s="172"/>
      <c r="K4" s="172"/>
      <c r="L4" s="205">
        <f>VLOOKUP(C4:C23,'[1]21年02月份'!$E$10:$L$29,8,0)</f>
        <v>18560</v>
      </c>
      <c r="M4" s="206">
        <v>960</v>
      </c>
      <c r="N4" s="206">
        <v>243</v>
      </c>
      <c r="O4" s="206">
        <v>24</v>
      </c>
      <c r="P4" s="206">
        <v>1440</v>
      </c>
      <c r="Q4" s="213">
        <v>0</v>
      </c>
      <c r="R4" s="205">
        <f t="shared" ref="R4:R21" si="1">ROUND(M4+N4+O4+P4+Q4,2)</f>
        <v>2667</v>
      </c>
      <c r="S4" s="205">
        <v>0</v>
      </c>
      <c r="T4" s="205">
        <v>0</v>
      </c>
      <c r="U4" s="205">
        <v>0</v>
      </c>
      <c r="V4" s="205">
        <v>0</v>
      </c>
      <c r="W4" s="205">
        <v>0</v>
      </c>
      <c r="X4" s="205">
        <v>0</v>
      </c>
      <c r="Y4" s="219">
        <f t="shared" ref="Y4:Y21" si="2">ROUND(S4+T4+U4+V4+W4+X4,2)</f>
        <v>0</v>
      </c>
      <c r="Z4" s="205">
        <v>0</v>
      </c>
      <c r="AA4" s="220">
        <v>3</v>
      </c>
      <c r="AB4" s="219">
        <f>L4+15960+18560</f>
        <v>53080</v>
      </c>
      <c r="AC4" s="221">
        <f t="shared" ref="AC4:AC13" si="3">5000*AA4</f>
        <v>15000</v>
      </c>
      <c r="AD4" s="221">
        <f>R4*AA4</f>
        <v>8001</v>
      </c>
      <c r="AE4" s="205">
        <f t="shared" ref="AE4:AE13" si="4">S4*AA4</f>
        <v>0</v>
      </c>
      <c r="AF4" s="205">
        <f t="shared" ref="AF4:AF13" si="5">T4*AA4</f>
        <v>0</v>
      </c>
      <c r="AG4" s="205">
        <f t="shared" ref="AG4:AG13" si="6">U4*AA4</f>
        <v>0</v>
      </c>
      <c r="AH4" s="205">
        <f t="shared" ref="AH4:AH13" si="7">V4*AA4</f>
        <v>0</v>
      </c>
      <c r="AI4" s="205">
        <f>W4*AA4</f>
        <v>0</v>
      </c>
      <c r="AJ4" s="205">
        <f t="shared" ref="AJ4:AJ13" si="8">X4</f>
        <v>0</v>
      </c>
      <c r="AK4" s="219">
        <f t="shared" ref="AK4:AK13" si="9">SUM(AE4:AJ4)</f>
        <v>0</v>
      </c>
      <c r="AL4" s="219">
        <f t="shared" ref="AL4:AL21" si="10">Z4</f>
        <v>0</v>
      </c>
      <c r="AM4" s="225">
        <f t="shared" ref="AM4:AM21" si="11">ROUND(AB4-AC4-AD4-AK4-AL4,2)</f>
        <v>30079</v>
      </c>
      <c r="AN4" s="226">
        <f>ROUND(MAX((AM4)*{0.03;0.1;0.2;0.25;0.3;0.35;0.45}-{0;2520;16920;31920;52920;85920;181920},0),2)</f>
        <v>902.37</v>
      </c>
      <c r="AO4" s="237">
        <v>575.58</v>
      </c>
      <c r="AP4" s="238">
        <f t="shared" ref="AP4:AP12" si="12">AN4-AO4</f>
        <v>326.79</v>
      </c>
      <c r="AQ4" s="239">
        <f t="shared" ref="AQ4:AQ21" si="13">ROUND(IF((L4-R4-AP4)&lt;0,0,(L4-R4-AP4)),2)</f>
        <v>15566.21</v>
      </c>
      <c r="AR4" s="240"/>
      <c r="AS4" s="239">
        <f t="shared" ref="AS4:AS13" si="14">AQ4+AR4</f>
        <v>15566.21</v>
      </c>
      <c r="AT4" s="239"/>
      <c r="AU4" s="239">
        <f t="shared" ref="AU4:AU12" si="15">AS4+AR4+AP4+AT4</f>
        <v>15893</v>
      </c>
      <c r="AV4" s="239"/>
      <c r="AW4" s="239"/>
      <c r="AX4" s="239"/>
      <c r="AY4" s="239"/>
      <c r="AZ4" s="239"/>
      <c r="BA4" s="246" t="str">
        <f t="shared" ref="BA4:BA12" si="16"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BB4" s="246" t="str">
        <f>IF(SUMPRODUCT(N(E$1:E$13=E4))&gt;1,"重复","不")</f>
        <v>不</v>
      </c>
      <c r="BC4" s="246" t="str">
        <f>IF(SUMPRODUCT(N(AX$1:AX$13=AX4))&gt;1,"重复","不")</f>
        <v>重复</v>
      </c>
    </row>
    <row r="5" s="153" customFormat="1" ht="18" customHeight="1" spans="1:55">
      <c r="A5" s="167">
        <v>2</v>
      </c>
      <c r="B5" s="168" t="s">
        <v>54</v>
      </c>
      <c r="C5" s="169" t="s">
        <v>59</v>
      </c>
      <c r="D5" s="168" t="s">
        <v>56</v>
      </c>
      <c r="E5" s="168" t="s">
        <v>60</v>
      </c>
      <c r="F5" s="170" t="str">
        <f t="shared" si="0"/>
        <v>男</v>
      </c>
      <c r="G5" s="171"/>
      <c r="H5" s="172" t="s">
        <v>58</v>
      </c>
      <c r="I5" s="172" t="s">
        <v>58</v>
      </c>
      <c r="J5" s="172"/>
      <c r="K5" s="172"/>
      <c r="L5" s="205">
        <f>VLOOKUP(C5:C24,'[1]21年02月份'!$E$10:$L$29,8,0)</f>
        <v>11904</v>
      </c>
      <c r="M5" s="206">
        <v>960</v>
      </c>
      <c r="N5" s="206">
        <v>243</v>
      </c>
      <c r="O5" s="206">
        <v>24</v>
      </c>
      <c r="P5" s="206">
        <v>1440</v>
      </c>
      <c r="Q5" s="213">
        <v>0</v>
      </c>
      <c r="R5" s="205">
        <f t="shared" si="1"/>
        <v>2667</v>
      </c>
      <c r="S5" s="205">
        <v>500</v>
      </c>
      <c r="T5" s="205">
        <v>1000</v>
      </c>
      <c r="U5" s="205">
        <v>0</v>
      </c>
      <c r="V5" s="205">
        <v>0</v>
      </c>
      <c r="W5" s="205">
        <v>0</v>
      </c>
      <c r="X5" s="205">
        <v>0</v>
      </c>
      <c r="Y5" s="222">
        <f t="shared" si="2"/>
        <v>1500</v>
      </c>
      <c r="Z5" s="205">
        <v>0</v>
      </c>
      <c r="AA5" s="220">
        <v>3</v>
      </c>
      <c r="AB5" s="219">
        <f>L5+14150.4+12000</f>
        <v>38054.4</v>
      </c>
      <c r="AC5" s="221">
        <f t="shared" si="3"/>
        <v>15000</v>
      </c>
      <c r="AD5" s="221">
        <f t="shared" ref="AD5:AD23" si="17">R5*AA5</f>
        <v>8001</v>
      </c>
      <c r="AE5" s="205">
        <f t="shared" si="4"/>
        <v>1500</v>
      </c>
      <c r="AF5" s="205">
        <f t="shared" si="5"/>
        <v>3000</v>
      </c>
      <c r="AG5" s="205">
        <f t="shared" si="6"/>
        <v>0</v>
      </c>
      <c r="AH5" s="205">
        <f t="shared" si="7"/>
        <v>0</v>
      </c>
      <c r="AI5" s="205">
        <f t="shared" ref="AI5:AI21" si="18">W5*AA5</f>
        <v>0</v>
      </c>
      <c r="AJ5" s="205">
        <f t="shared" si="8"/>
        <v>0</v>
      </c>
      <c r="AK5" s="219">
        <f t="shared" si="9"/>
        <v>4500</v>
      </c>
      <c r="AL5" s="219">
        <f t="shared" si="10"/>
        <v>0</v>
      </c>
      <c r="AM5" s="225">
        <f t="shared" si="11"/>
        <v>10553.4</v>
      </c>
      <c r="AN5" s="226">
        <f>ROUND(MAX((AM5)*{0.03;0.1;0.2;0.25;0.3;0.35;0.45}-{0;2520;16920;31920;52920;85920;181920},0),2)</f>
        <v>316.6</v>
      </c>
      <c r="AO5" s="237">
        <v>234.49</v>
      </c>
      <c r="AP5" s="238">
        <f t="shared" si="12"/>
        <v>82.11</v>
      </c>
      <c r="AQ5" s="239">
        <f t="shared" si="13"/>
        <v>9154.89</v>
      </c>
      <c r="AR5" s="240"/>
      <c r="AS5" s="239">
        <f t="shared" si="14"/>
        <v>9154.89</v>
      </c>
      <c r="AT5" s="239"/>
      <c r="AU5" s="239">
        <f t="shared" si="15"/>
        <v>9237</v>
      </c>
      <c r="AV5" s="239"/>
      <c r="AW5" s="239"/>
      <c r="AX5" s="239"/>
      <c r="AY5" s="239"/>
      <c r="AZ5" s="239"/>
      <c r="BA5" s="246" t="str">
        <f t="shared" si="16"/>
        <v>正确</v>
      </c>
      <c r="BB5" s="246" t="str">
        <f>IF(SUMPRODUCT(N(E$1:E$13=E5))&gt;1,"重复","不")</f>
        <v>不</v>
      </c>
      <c r="BC5" s="246" t="str">
        <f>IF(SUMPRODUCT(N(AX$1:AX$13=AX5))&gt;1,"重复","不")</f>
        <v>重复</v>
      </c>
    </row>
    <row r="6" s="153" customFormat="1" ht="18" customHeight="1" spans="1:55">
      <c r="A6" s="167">
        <v>3</v>
      </c>
      <c r="B6" s="168" t="s">
        <v>54</v>
      </c>
      <c r="C6" s="169" t="s">
        <v>61</v>
      </c>
      <c r="D6" s="168" t="s">
        <v>56</v>
      </c>
      <c r="E6" s="168" t="s">
        <v>62</v>
      </c>
      <c r="F6" s="170" t="str">
        <f t="shared" si="0"/>
        <v>男</v>
      </c>
      <c r="G6" s="171"/>
      <c r="H6" s="172"/>
      <c r="I6" s="172"/>
      <c r="J6" s="172"/>
      <c r="K6" s="172"/>
      <c r="L6" s="205">
        <f>VLOOKUP(C6:C25,'[1]21年02月份'!$E$10:$L$29,8,0)</f>
        <v>12000</v>
      </c>
      <c r="M6" s="206">
        <v>960</v>
      </c>
      <c r="N6" s="206">
        <v>243</v>
      </c>
      <c r="O6" s="206">
        <v>24</v>
      </c>
      <c r="P6" s="206">
        <v>1440</v>
      </c>
      <c r="Q6" s="213">
        <v>0</v>
      </c>
      <c r="R6" s="205">
        <f t="shared" si="1"/>
        <v>2667</v>
      </c>
      <c r="S6" s="205">
        <v>0</v>
      </c>
      <c r="T6" s="205">
        <v>2000</v>
      </c>
      <c r="U6" s="205">
        <v>0</v>
      </c>
      <c r="V6" s="205">
        <v>0</v>
      </c>
      <c r="W6" s="205">
        <v>400</v>
      </c>
      <c r="X6" s="205">
        <v>0</v>
      </c>
      <c r="Y6" s="222">
        <f t="shared" si="2"/>
        <v>2400</v>
      </c>
      <c r="Z6" s="205">
        <v>0</v>
      </c>
      <c r="AA6" s="220">
        <v>3</v>
      </c>
      <c r="AB6" s="219">
        <f>L6+14150.4+12000</f>
        <v>38150.4</v>
      </c>
      <c r="AC6" s="221">
        <f t="shared" si="3"/>
        <v>15000</v>
      </c>
      <c r="AD6" s="221">
        <f t="shared" si="17"/>
        <v>8001</v>
      </c>
      <c r="AE6" s="205">
        <f t="shared" si="4"/>
        <v>0</v>
      </c>
      <c r="AF6" s="205">
        <f t="shared" si="5"/>
        <v>6000</v>
      </c>
      <c r="AG6" s="205">
        <f t="shared" si="6"/>
        <v>0</v>
      </c>
      <c r="AH6" s="205">
        <f t="shared" si="7"/>
        <v>0</v>
      </c>
      <c r="AI6" s="205">
        <f t="shared" si="18"/>
        <v>1200</v>
      </c>
      <c r="AJ6" s="205">
        <f t="shared" si="8"/>
        <v>0</v>
      </c>
      <c r="AK6" s="219">
        <f t="shared" si="9"/>
        <v>7200</v>
      </c>
      <c r="AL6" s="219">
        <f t="shared" si="10"/>
        <v>0</v>
      </c>
      <c r="AM6" s="225">
        <f t="shared" si="11"/>
        <v>7949.4</v>
      </c>
      <c r="AN6" s="226">
        <f>ROUND(MAX((AM6)*{0.03;0.1;0.2;0.25;0.3;0.35;0.45}-{0;2520;16920;31920;52920;85920;181920},0),2)</f>
        <v>238.48</v>
      </c>
      <c r="AO6" s="237">
        <v>180.49</v>
      </c>
      <c r="AP6" s="238">
        <f t="shared" si="12"/>
        <v>57.99</v>
      </c>
      <c r="AQ6" s="239">
        <f t="shared" si="13"/>
        <v>9275.01</v>
      </c>
      <c r="AR6" s="240"/>
      <c r="AS6" s="239">
        <f t="shared" si="14"/>
        <v>9275.01</v>
      </c>
      <c r="AT6" s="239"/>
      <c r="AU6" s="239">
        <f t="shared" si="15"/>
        <v>9333</v>
      </c>
      <c r="AV6" s="239"/>
      <c r="AW6" s="239"/>
      <c r="AX6" s="239"/>
      <c r="AY6" s="239"/>
      <c r="AZ6" s="239"/>
      <c r="BA6" s="246" t="str">
        <f t="shared" si="16"/>
        <v>正确</v>
      </c>
      <c r="BB6" s="246" t="str">
        <f>IF(SUMPRODUCT(N(E$1:E$13=E6))&gt;1,"重复","不")</f>
        <v>不</v>
      </c>
      <c r="BC6" s="246" t="str">
        <f>IF(SUMPRODUCT(N(AX$1:AX$13=AX6))&gt;1,"重复","不")</f>
        <v>重复</v>
      </c>
    </row>
    <row r="7" s="153" customFormat="1" ht="18" customHeight="1" spans="1:55">
      <c r="A7" s="167">
        <v>4</v>
      </c>
      <c r="B7" s="168" t="s">
        <v>54</v>
      </c>
      <c r="C7" s="173" t="s">
        <v>63</v>
      </c>
      <c r="D7" s="168" t="s">
        <v>56</v>
      </c>
      <c r="E7" s="168" t="s">
        <v>64</v>
      </c>
      <c r="F7" s="170" t="str">
        <f t="shared" si="0"/>
        <v>男</v>
      </c>
      <c r="G7" s="171"/>
      <c r="H7" s="172"/>
      <c r="I7" s="172"/>
      <c r="J7" s="172"/>
      <c r="K7" s="172"/>
      <c r="L7" s="205">
        <f>VLOOKUP(C7:C26,'[1]21年02月份'!$E$10:$L$29,8,0)</f>
        <v>12333.29</v>
      </c>
      <c r="M7" s="206">
        <v>480</v>
      </c>
      <c r="N7" s="206">
        <v>123</v>
      </c>
      <c r="O7" s="206">
        <v>12</v>
      </c>
      <c r="P7" s="206">
        <v>720</v>
      </c>
      <c r="Q7" s="213">
        <v>0</v>
      </c>
      <c r="R7" s="205">
        <f t="shared" si="1"/>
        <v>1335</v>
      </c>
      <c r="S7" s="208">
        <v>500</v>
      </c>
      <c r="T7" s="208">
        <v>1000</v>
      </c>
      <c r="U7" s="205">
        <v>0</v>
      </c>
      <c r="V7" s="205">
        <v>0</v>
      </c>
      <c r="W7" s="205">
        <v>0</v>
      </c>
      <c r="X7" s="205">
        <v>0</v>
      </c>
      <c r="Y7" s="219">
        <f t="shared" si="2"/>
        <v>1500</v>
      </c>
      <c r="Z7" s="205">
        <v>0</v>
      </c>
      <c r="AA7" s="220">
        <v>3</v>
      </c>
      <c r="AB7" s="219">
        <f>L7+17260+13573.29</f>
        <v>43166.58</v>
      </c>
      <c r="AC7" s="221">
        <f t="shared" si="3"/>
        <v>15000</v>
      </c>
      <c r="AD7" s="221">
        <f t="shared" si="17"/>
        <v>4005</v>
      </c>
      <c r="AE7" s="205">
        <f t="shared" si="4"/>
        <v>1500</v>
      </c>
      <c r="AF7" s="205">
        <f t="shared" si="5"/>
        <v>3000</v>
      </c>
      <c r="AG7" s="205">
        <f t="shared" si="6"/>
        <v>0</v>
      </c>
      <c r="AH7" s="205">
        <f t="shared" si="7"/>
        <v>0</v>
      </c>
      <c r="AI7" s="205">
        <f t="shared" si="18"/>
        <v>0</v>
      </c>
      <c r="AJ7" s="205">
        <f t="shared" si="8"/>
        <v>0</v>
      </c>
      <c r="AK7" s="219">
        <f t="shared" si="9"/>
        <v>4500</v>
      </c>
      <c r="AL7" s="219">
        <f t="shared" si="10"/>
        <v>0</v>
      </c>
      <c r="AM7" s="225">
        <f t="shared" si="11"/>
        <v>19661.58</v>
      </c>
      <c r="AN7" s="226">
        <f>ROUND(MAX((AM7)*{0.03;0.1;0.2;0.25;0.3;0.35;0.45}-{0;2520;16920;31920;52920;85920;181920},0),2)</f>
        <v>589.85</v>
      </c>
      <c r="AO7" s="237">
        <v>454.9</v>
      </c>
      <c r="AP7" s="238">
        <f t="shared" si="12"/>
        <v>134.95</v>
      </c>
      <c r="AQ7" s="239">
        <f t="shared" si="13"/>
        <v>10863.34</v>
      </c>
      <c r="AR7" s="240"/>
      <c r="AS7" s="239">
        <f t="shared" si="14"/>
        <v>10863.34</v>
      </c>
      <c r="AT7" s="239"/>
      <c r="AU7" s="239">
        <f t="shared" si="15"/>
        <v>10998.29</v>
      </c>
      <c r="AV7" s="239"/>
      <c r="AW7" s="239"/>
      <c r="AX7" s="239"/>
      <c r="AY7" s="239"/>
      <c r="AZ7" s="239"/>
      <c r="BA7" s="246" t="str">
        <f t="shared" si="16"/>
        <v>正确</v>
      </c>
      <c r="BB7" s="246" t="str">
        <f>IF(SUMPRODUCT(N(E$1:E$13=E7))&gt;1,"重复","不")</f>
        <v>不</v>
      </c>
      <c r="BC7" s="246" t="str">
        <f>IF(SUMPRODUCT(N(AX$1:AX$13=AX7))&gt;1,"重复","不")</f>
        <v>重复</v>
      </c>
    </row>
    <row r="8" s="153" customFormat="1" ht="18" customHeight="1" spans="1:55">
      <c r="A8" s="167">
        <v>5</v>
      </c>
      <c r="B8" s="168" t="s">
        <v>54</v>
      </c>
      <c r="C8" s="169" t="s">
        <v>65</v>
      </c>
      <c r="D8" s="168" t="s">
        <v>56</v>
      </c>
      <c r="E8" s="168" t="s">
        <v>66</v>
      </c>
      <c r="F8" s="170" t="str">
        <f t="shared" si="0"/>
        <v>男</v>
      </c>
      <c r="G8" s="171"/>
      <c r="H8" s="172"/>
      <c r="I8" s="172"/>
      <c r="J8" s="172"/>
      <c r="K8" s="172"/>
      <c r="L8" s="205">
        <f>VLOOKUP(C8:C27,'[1]21年02月份'!$E$10:$L$29,8,0)</f>
        <v>20280</v>
      </c>
      <c r="M8" s="206">
        <v>480</v>
      </c>
      <c r="N8" s="206">
        <v>123</v>
      </c>
      <c r="O8" s="206">
        <v>0</v>
      </c>
      <c r="P8" s="206">
        <v>720</v>
      </c>
      <c r="Q8" s="213">
        <v>0</v>
      </c>
      <c r="R8" s="205">
        <f t="shared" si="1"/>
        <v>1323</v>
      </c>
      <c r="S8" s="208">
        <v>2000</v>
      </c>
      <c r="T8" s="208">
        <v>1000</v>
      </c>
      <c r="U8" s="208">
        <v>0</v>
      </c>
      <c r="V8" s="208">
        <v>1500</v>
      </c>
      <c r="W8" s="208">
        <v>0</v>
      </c>
      <c r="X8" s="205">
        <v>0</v>
      </c>
      <c r="Y8" s="219">
        <f t="shared" si="2"/>
        <v>4500</v>
      </c>
      <c r="Z8" s="205">
        <v>0</v>
      </c>
      <c r="AA8" s="220">
        <v>3</v>
      </c>
      <c r="AB8" s="219">
        <f>L8+23640+21960</f>
        <v>65880</v>
      </c>
      <c r="AC8" s="221">
        <f t="shared" si="3"/>
        <v>15000</v>
      </c>
      <c r="AD8" s="221">
        <f t="shared" si="17"/>
        <v>3969</v>
      </c>
      <c r="AE8" s="205">
        <f t="shared" si="4"/>
        <v>6000</v>
      </c>
      <c r="AF8" s="205">
        <f t="shared" si="5"/>
        <v>3000</v>
      </c>
      <c r="AG8" s="205">
        <f t="shared" si="6"/>
        <v>0</v>
      </c>
      <c r="AH8" s="205">
        <f t="shared" si="7"/>
        <v>4500</v>
      </c>
      <c r="AI8" s="205">
        <f t="shared" si="18"/>
        <v>0</v>
      </c>
      <c r="AJ8" s="205">
        <f t="shared" si="8"/>
        <v>0</v>
      </c>
      <c r="AK8" s="219">
        <f t="shared" si="9"/>
        <v>13500</v>
      </c>
      <c r="AL8" s="219">
        <f t="shared" si="10"/>
        <v>0</v>
      </c>
      <c r="AM8" s="225">
        <f t="shared" si="11"/>
        <v>33411</v>
      </c>
      <c r="AN8" s="226">
        <f>ROUND(MAX((AM8)*{0.03;0.1;0.2;0.25;0.3;0.35;0.45}-{0;2520;16920;31920;52920;85920;181920},0),2)</f>
        <v>1002.33</v>
      </c>
      <c r="AO8" s="237">
        <v>718.62</v>
      </c>
      <c r="AP8" s="238">
        <f t="shared" si="12"/>
        <v>283.71</v>
      </c>
      <c r="AQ8" s="239">
        <f t="shared" si="13"/>
        <v>18673.29</v>
      </c>
      <c r="AR8" s="240"/>
      <c r="AS8" s="239">
        <f t="shared" si="14"/>
        <v>18673.29</v>
      </c>
      <c r="AT8" s="239"/>
      <c r="AU8" s="239">
        <f t="shared" si="15"/>
        <v>18957</v>
      </c>
      <c r="AV8" s="239"/>
      <c r="AW8" s="239"/>
      <c r="AX8" s="239"/>
      <c r="AY8" s="239"/>
      <c r="AZ8" s="239"/>
      <c r="BA8" s="246" t="str">
        <f t="shared" si="16"/>
        <v>正确</v>
      </c>
      <c r="BB8" s="246" t="str">
        <f>IF(SUMPRODUCT(N(E$1:E$13=E8))&gt;1,"重复","不")</f>
        <v>不</v>
      </c>
      <c r="BC8" s="246" t="str">
        <f>IF(SUMPRODUCT(N(AX$1:AX$13=AX8))&gt;1,"重复","不")</f>
        <v>重复</v>
      </c>
    </row>
    <row r="9" s="154" customFormat="1" ht="18" customHeight="1" spans="1:1025">
      <c r="A9" s="174">
        <v>6</v>
      </c>
      <c r="B9" s="168" t="s">
        <v>54</v>
      </c>
      <c r="C9" s="175" t="s">
        <v>67</v>
      </c>
      <c r="D9" s="176" t="s">
        <v>56</v>
      </c>
      <c r="E9" s="248" t="s">
        <v>68</v>
      </c>
      <c r="F9" s="177" t="str">
        <f t="shared" si="0"/>
        <v>男</v>
      </c>
      <c r="G9" s="178"/>
      <c r="H9" s="179"/>
      <c r="I9" s="179"/>
      <c r="J9" s="179"/>
      <c r="K9" s="179"/>
      <c r="L9" s="205">
        <f>VLOOKUP(C9:C28,'[1]21年02月份'!$E$10:$L$29,8,0)</f>
        <v>7128.69565217391</v>
      </c>
      <c r="M9" s="207">
        <v>320</v>
      </c>
      <c r="N9" s="207">
        <v>110.2</v>
      </c>
      <c r="O9" s="207">
        <v>8</v>
      </c>
      <c r="P9" s="207">
        <v>480</v>
      </c>
      <c r="Q9" s="214">
        <v>0</v>
      </c>
      <c r="R9" s="215">
        <f t="shared" si="1"/>
        <v>918.2</v>
      </c>
      <c r="S9" s="216">
        <v>0</v>
      </c>
      <c r="T9" s="216"/>
      <c r="U9" s="216"/>
      <c r="V9" s="216">
        <v>0</v>
      </c>
      <c r="W9" s="216">
        <v>0</v>
      </c>
      <c r="X9" s="215">
        <v>0</v>
      </c>
      <c r="Y9" s="222">
        <f t="shared" si="2"/>
        <v>0</v>
      </c>
      <c r="Z9" s="215">
        <v>0</v>
      </c>
      <c r="AA9" s="220">
        <v>3</v>
      </c>
      <c r="AB9" s="219">
        <f>L9+7520+7996.19</f>
        <v>22644.8856521739</v>
      </c>
      <c r="AC9" s="223">
        <f t="shared" si="3"/>
        <v>15000</v>
      </c>
      <c r="AD9" s="221">
        <f t="shared" si="17"/>
        <v>2754.6</v>
      </c>
      <c r="AE9" s="215">
        <f t="shared" si="4"/>
        <v>0</v>
      </c>
      <c r="AF9" s="215">
        <f t="shared" si="5"/>
        <v>0</v>
      </c>
      <c r="AG9" s="215">
        <f t="shared" si="6"/>
        <v>0</v>
      </c>
      <c r="AH9" s="215">
        <f t="shared" si="7"/>
        <v>0</v>
      </c>
      <c r="AI9" s="205">
        <f t="shared" si="18"/>
        <v>0</v>
      </c>
      <c r="AJ9" s="215">
        <f t="shared" si="8"/>
        <v>0</v>
      </c>
      <c r="AK9" s="227">
        <f t="shared" si="9"/>
        <v>0</v>
      </c>
      <c r="AL9" s="227">
        <f t="shared" si="10"/>
        <v>0</v>
      </c>
      <c r="AM9" s="228">
        <f t="shared" si="11"/>
        <v>4890.29</v>
      </c>
      <c r="AN9" s="229">
        <f>ROUND(MAX((AM9)*{0.03;0.1;0.2;0.25;0.3;0.35;0.45}-{0;2520;16920;31920;52920;85920;181920},0),2)</f>
        <v>146.71</v>
      </c>
      <c r="AO9" s="237">
        <v>110.39</v>
      </c>
      <c r="AP9" s="237">
        <f t="shared" si="12"/>
        <v>36.32</v>
      </c>
      <c r="AQ9" s="241">
        <f t="shared" si="13"/>
        <v>6174.18</v>
      </c>
      <c r="AR9" s="242"/>
      <c r="AS9" s="241">
        <f t="shared" si="14"/>
        <v>6174.18</v>
      </c>
      <c r="AT9" s="241"/>
      <c r="AU9" s="241">
        <f t="shared" si="15"/>
        <v>6210.5</v>
      </c>
      <c r="AV9" s="241"/>
      <c r="AW9" s="241"/>
      <c r="AX9" s="241"/>
      <c r="AY9" s="241"/>
      <c r="AZ9" s="241"/>
      <c r="BA9" s="247" t="str">
        <f t="shared" si="16"/>
        <v>正确</v>
      </c>
      <c r="BB9" s="247" t="str">
        <f>IF(SUMPRODUCT(N(E$1:E$13=E9))&gt;1,"重复","不")</f>
        <v>不</v>
      </c>
      <c r="BC9" s="247" t="str">
        <f>IF(SUMPRODUCT(N(AX$1:AX$13=AX9))&gt;1,"重复","不")</f>
        <v>重复</v>
      </c>
      <c r="BD9" s="158"/>
      <c r="BE9" s="158"/>
      <c r="BF9" s="158"/>
      <c r="BG9" s="158"/>
      <c r="BH9" s="158"/>
      <c r="BI9" s="158"/>
      <c r="BJ9" s="158"/>
      <c r="BK9" s="158"/>
      <c r="BL9" s="158"/>
      <c r="BM9" s="158"/>
      <c r="BN9" s="158"/>
      <c r="BO9" s="158"/>
      <c r="BP9" s="158"/>
      <c r="BQ9" s="158"/>
      <c r="BR9" s="158"/>
      <c r="BS9" s="158"/>
      <c r="BT9" s="158"/>
      <c r="BU9" s="158"/>
      <c r="BV9" s="158"/>
      <c r="BW9" s="158"/>
      <c r="BX9" s="158"/>
      <c r="BY9" s="158"/>
      <c r="BZ9" s="158"/>
      <c r="CA9" s="158"/>
      <c r="CB9" s="158"/>
      <c r="CC9" s="158"/>
      <c r="CD9" s="158"/>
      <c r="CE9" s="158"/>
      <c r="CF9" s="158"/>
      <c r="CG9" s="158"/>
      <c r="CH9" s="158"/>
      <c r="CI9" s="158"/>
      <c r="CJ9" s="158"/>
      <c r="CK9" s="158"/>
      <c r="CL9" s="158"/>
      <c r="CM9" s="158"/>
      <c r="CN9" s="158"/>
      <c r="CO9" s="158"/>
      <c r="CP9" s="158"/>
      <c r="CQ9" s="158"/>
      <c r="CR9" s="158"/>
      <c r="CS9" s="158"/>
      <c r="CT9" s="158"/>
      <c r="CU9" s="158"/>
      <c r="CV9" s="158"/>
      <c r="CW9" s="158"/>
      <c r="CX9" s="158"/>
      <c r="CY9" s="158"/>
      <c r="CZ9" s="158"/>
      <c r="DA9" s="158"/>
      <c r="DB9" s="158"/>
      <c r="DC9" s="158"/>
      <c r="DD9" s="158"/>
      <c r="DE9" s="158"/>
      <c r="DF9" s="158"/>
      <c r="DG9" s="158"/>
      <c r="DH9" s="158"/>
      <c r="DI9" s="158"/>
      <c r="DJ9" s="158"/>
      <c r="DK9" s="158"/>
      <c r="DL9" s="158"/>
      <c r="DM9" s="158"/>
      <c r="DN9" s="158"/>
      <c r="DO9" s="158"/>
      <c r="DP9" s="158"/>
      <c r="DQ9" s="158"/>
      <c r="DR9" s="158"/>
      <c r="DS9" s="158"/>
      <c r="DT9" s="158"/>
      <c r="DU9" s="158"/>
      <c r="DV9" s="158"/>
      <c r="DW9" s="158"/>
      <c r="DX9" s="158"/>
      <c r="DY9" s="158"/>
      <c r="DZ9" s="158"/>
      <c r="EA9" s="158"/>
      <c r="EB9" s="158"/>
      <c r="EC9" s="158"/>
      <c r="ED9" s="158"/>
      <c r="EE9" s="158"/>
      <c r="EF9" s="158"/>
      <c r="EG9" s="158"/>
      <c r="EH9" s="158"/>
      <c r="EI9" s="158"/>
      <c r="EJ9" s="158"/>
      <c r="EK9" s="158"/>
      <c r="EL9" s="158"/>
      <c r="EM9" s="158"/>
      <c r="EN9" s="158"/>
      <c r="EO9" s="158"/>
      <c r="EP9" s="158"/>
      <c r="EQ9" s="158"/>
      <c r="ER9" s="158"/>
      <c r="ES9" s="158"/>
      <c r="ET9" s="158"/>
      <c r="EU9" s="158"/>
      <c r="EV9" s="158"/>
      <c r="EW9" s="158"/>
      <c r="EX9" s="158"/>
      <c r="EY9" s="158"/>
      <c r="EZ9" s="158"/>
      <c r="FA9" s="158"/>
      <c r="FB9" s="158"/>
      <c r="FC9" s="158"/>
      <c r="FD9" s="158"/>
      <c r="FE9" s="158"/>
      <c r="FF9" s="158"/>
      <c r="FG9" s="158"/>
      <c r="FH9" s="158"/>
      <c r="FI9" s="158"/>
      <c r="FJ9" s="158"/>
      <c r="FK9" s="158"/>
      <c r="FL9" s="158"/>
      <c r="FM9" s="158"/>
      <c r="FN9" s="158"/>
      <c r="FO9" s="158"/>
      <c r="FP9" s="158"/>
      <c r="FQ9" s="158"/>
      <c r="FR9" s="158"/>
      <c r="FS9" s="158"/>
      <c r="FT9" s="158"/>
      <c r="FU9" s="158"/>
      <c r="FV9" s="158"/>
      <c r="FW9" s="158"/>
      <c r="FX9" s="158"/>
      <c r="FY9" s="158"/>
      <c r="FZ9" s="158"/>
      <c r="GA9" s="158"/>
      <c r="GB9" s="158"/>
      <c r="GC9" s="158"/>
      <c r="GD9" s="158"/>
      <c r="GE9" s="158"/>
      <c r="GF9" s="158"/>
      <c r="GG9" s="158"/>
      <c r="GH9" s="158"/>
      <c r="GI9" s="158"/>
      <c r="GJ9" s="158"/>
      <c r="GK9" s="158"/>
      <c r="GL9" s="158"/>
      <c r="GM9" s="158"/>
      <c r="GN9" s="158"/>
      <c r="GO9" s="158"/>
      <c r="GP9" s="158"/>
      <c r="GQ9" s="158"/>
      <c r="GR9" s="158"/>
      <c r="GS9" s="158"/>
      <c r="GT9" s="158"/>
      <c r="GU9" s="158"/>
      <c r="GV9" s="158"/>
      <c r="GW9" s="158"/>
      <c r="GX9" s="158"/>
      <c r="GY9" s="158"/>
      <c r="GZ9" s="158"/>
      <c r="HA9" s="158"/>
      <c r="HB9" s="158"/>
      <c r="HC9" s="158"/>
      <c r="HD9" s="158"/>
      <c r="HE9" s="158"/>
      <c r="HF9" s="158"/>
      <c r="HG9" s="158"/>
      <c r="HH9" s="158"/>
      <c r="HI9" s="158"/>
      <c r="HJ9" s="158"/>
      <c r="HK9" s="158"/>
      <c r="HL9" s="158"/>
      <c r="HM9" s="158"/>
      <c r="HN9" s="158"/>
      <c r="HO9" s="158"/>
      <c r="HP9" s="158"/>
      <c r="HQ9" s="158"/>
      <c r="HR9" s="158"/>
      <c r="HS9" s="158"/>
      <c r="HT9" s="158"/>
      <c r="HU9" s="158"/>
      <c r="HV9" s="158"/>
      <c r="HW9" s="158"/>
      <c r="HX9" s="158"/>
      <c r="HY9" s="158"/>
      <c r="HZ9" s="158"/>
      <c r="IA9" s="158"/>
      <c r="IB9" s="158"/>
      <c r="IC9" s="158"/>
      <c r="ID9" s="158"/>
      <c r="IE9" s="158"/>
      <c r="IF9" s="158"/>
      <c r="IG9" s="158"/>
      <c r="IH9" s="158"/>
      <c r="II9" s="158"/>
      <c r="IJ9" s="158"/>
      <c r="IK9" s="158"/>
      <c r="IL9" s="158"/>
      <c r="IM9" s="158"/>
      <c r="IN9" s="158"/>
      <c r="IO9" s="158"/>
      <c r="IP9" s="158"/>
      <c r="IQ9" s="158"/>
      <c r="IR9" s="158"/>
      <c r="IS9" s="158"/>
      <c r="IT9" s="158"/>
      <c r="IU9" s="158"/>
      <c r="IV9" s="158"/>
      <c r="IW9" s="158"/>
      <c r="IX9" s="158"/>
      <c r="IY9" s="158"/>
      <c r="IZ9" s="158"/>
      <c r="JA9" s="158"/>
      <c r="JB9" s="158"/>
      <c r="JC9" s="158"/>
      <c r="JD9" s="158"/>
      <c r="JE9" s="158"/>
      <c r="JF9" s="158"/>
      <c r="JG9" s="158"/>
      <c r="JH9" s="158"/>
      <c r="JI9" s="158"/>
      <c r="JJ9" s="158"/>
      <c r="JK9" s="158"/>
      <c r="JL9" s="158"/>
      <c r="JM9" s="158"/>
      <c r="JN9" s="158"/>
      <c r="JO9" s="158"/>
      <c r="JP9" s="158"/>
      <c r="JQ9" s="158"/>
      <c r="JR9" s="158"/>
      <c r="JS9" s="158"/>
      <c r="JT9" s="158"/>
      <c r="JU9" s="158"/>
      <c r="JV9" s="158"/>
      <c r="JW9" s="158"/>
      <c r="JX9" s="158"/>
      <c r="JY9" s="158"/>
      <c r="JZ9" s="158"/>
      <c r="KA9" s="158"/>
      <c r="KB9" s="158"/>
      <c r="KC9" s="158"/>
      <c r="KD9" s="158"/>
      <c r="KE9" s="158"/>
      <c r="KF9" s="158"/>
      <c r="KG9" s="158"/>
      <c r="KH9" s="158"/>
      <c r="KI9" s="158"/>
      <c r="KJ9" s="158"/>
      <c r="KK9" s="158"/>
      <c r="KL9" s="158"/>
      <c r="KM9" s="158"/>
      <c r="KN9" s="158"/>
      <c r="KO9" s="158"/>
      <c r="KP9" s="158"/>
      <c r="KQ9" s="158"/>
      <c r="KR9" s="158"/>
      <c r="KS9" s="158"/>
      <c r="KT9" s="158"/>
      <c r="KU9" s="158"/>
      <c r="KV9" s="158"/>
      <c r="KW9" s="158"/>
      <c r="KX9" s="158"/>
      <c r="KY9" s="158"/>
      <c r="KZ9" s="158"/>
      <c r="LA9" s="158"/>
      <c r="LB9" s="158"/>
      <c r="LC9" s="158"/>
      <c r="LD9" s="158"/>
      <c r="LE9" s="158"/>
      <c r="LF9" s="158"/>
      <c r="LG9" s="158"/>
      <c r="LH9" s="158"/>
      <c r="LI9" s="158"/>
      <c r="LJ9" s="158"/>
      <c r="LK9" s="158"/>
      <c r="LL9" s="158"/>
      <c r="LM9" s="158"/>
      <c r="LN9" s="158"/>
      <c r="LO9" s="158"/>
      <c r="LP9" s="158"/>
      <c r="LQ9" s="158"/>
      <c r="LR9" s="158"/>
      <c r="LS9" s="158"/>
      <c r="LT9" s="158"/>
      <c r="LU9" s="158"/>
      <c r="LV9" s="158"/>
      <c r="LW9" s="158"/>
      <c r="LX9" s="158"/>
      <c r="LY9" s="158"/>
      <c r="LZ9" s="158"/>
      <c r="MA9" s="158"/>
      <c r="MB9" s="158"/>
      <c r="MC9" s="158"/>
      <c r="MD9" s="158"/>
      <c r="ME9" s="158"/>
      <c r="MF9" s="158"/>
      <c r="MG9" s="158"/>
      <c r="MH9" s="158"/>
      <c r="MI9" s="158"/>
      <c r="MJ9" s="158"/>
      <c r="MK9" s="158"/>
      <c r="ML9" s="158"/>
      <c r="MM9" s="158"/>
      <c r="MN9" s="158"/>
      <c r="MO9" s="158"/>
      <c r="MP9" s="158"/>
      <c r="MQ9" s="158"/>
      <c r="MR9" s="158"/>
      <c r="MS9" s="158"/>
      <c r="MT9" s="158"/>
      <c r="MU9" s="158"/>
      <c r="MV9" s="158"/>
      <c r="MW9" s="158"/>
      <c r="MX9" s="158"/>
      <c r="MY9" s="158"/>
      <c r="MZ9" s="158"/>
      <c r="NA9" s="158"/>
      <c r="NB9" s="158"/>
      <c r="NC9" s="158"/>
      <c r="ND9" s="158"/>
      <c r="NE9" s="158"/>
      <c r="NF9" s="158"/>
      <c r="NG9" s="158"/>
      <c r="NH9" s="158"/>
      <c r="NI9" s="158"/>
      <c r="NJ9" s="158"/>
      <c r="NK9" s="158"/>
      <c r="NL9" s="158"/>
      <c r="NM9" s="158"/>
      <c r="NN9" s="158"/>
      <c r="NO9" s="158"/>
      <c r="NP9" s="158"/>
      <c r="NQ9" s="158"/>
      <c r="NR9" s="158"/>
      <c r="NS9" s="158"/>
      <c r="NT9" s="158"/>
      <c r="NU9" s="158"/>
      <c r="NV9" s="158"/>
      <c r="NW9" s="158"/>
      <c r="NX9" s="158"/>
      <c r="NY9" s="158"/>
      <c r="NZ9" s="158"/>
      <c r="OA9" s="158"/>
      <c r="OB9" s="158"/>
      <c r="OC9" s="158"/>
      <c r="OD9" s="158"/>
      <c r="OE9" s="158"/>
      <c r="OF9" s="158"/>
      <c r="OG9" s="158"/>
      <c r="OH9" s="158"/>
      <c r="OI9" s="158"/>
      <c r="OJ9" s="158"/>
      <c r="OK9" s="158"/>
      <c r="OL9" s="158"/>
      <c r="OM9" s="158"/>
      <c r="ON9" s="158"/>
      <c r="OO9" s="158"/>
      <c r="OP9" s="158"/>
      <c r="OQ9" s="158"/>
      <c r="OR9" s="158"/>
      <c r="OS9" s="158"/>
      <c r="OT9" s="158"/>
      <c r="OU9" s="158"/>
      <c r="OV9" s="158"/>
      <c r="OW9" s="158"/>
      <c r="OX9" s="158"/>
      <c r="OY9" s="158"/>
      <c r="OZ9" s="158"/>
      <c r="PA9" s="158"/>
      <c r="PB9" s="158"/>
      <c r="PC9" s="158"/>
      <c r="PD9" s="158"/>
      <c r="PE9" s="158"/>
      <c r="PF9" s="158"/>
      <c r="PG9" s="158"/>
      <c r="PH9" s="158"/>
      <c r="PI9" s="158"/>
      <c r="PJ9" s="158"/>
      <c r="PK9" s="158"/>
      <c r="PL9" s="158"/>
      <c r="PM9" s="158"/>
      <c r="PN9" s="158"/>
      <c r="PO9" s="158"/>
      <c r="PP9" s="158"/>
      <c r="PQ9" s="158"/>
      <c r="PR9" s="158"/>
      <c r="PS9" s="158"/>
      <c r="PT9" s="158"/>
      <c r="PU9" s="158"/>
      <c r="PV9" s="158"/>
      <c r="PW9" s="158"/>
      <c r="PX9" s="158"/>
      <c r="PY9" s="158"/>
      <c r="PZ9" s="158"/>
      <c r="QA9" s="158"/>
      <c r="QB9" s="158"/>
      <c r="QC9" s="158"/>
      <c r="QD9" s="158"/>
      <c r="QE9" s="158"/>
      <c r="QF9" s="158"/>
      <c r="QG9" s="158"/>
      <c r="QH9" s="158"/>
      <c r="QI9" s="158"/>
      <c r="QJ9" s="158"/>
      <c r="QK9" s="158"/>
      <c r="QL9" s="158"/>
      <c r="QM9" s="158"/>
      <c r="QN9" s="158"/>
      <c r="QO9" s="158"/>
      <c r="QP9" s="158"/>
      <c r="QQ9" s="158"/>
      <c r="QR9" s="158"/>
      <c r="QS9" s="158"/>
      <c r="QT9" s="158"/>
      <c r="QU9" s="158"/>
      <c r="QV9" s="158"/>
      <c r="QW9" s="158"/>
      <c r="QX9" s="158"/>
      <c r="QY9" s="158"/>
      <c r="QZ9" s="158"/>
      <c r="RA9" s="158"/>
      <c r="RB9" s="158"/>
      <c r="RC9" s="158"/>
      <c r="RD9" s="158"/>
      <c r="RE9" s="158"/>
      <c r="RF9" s="158"/>
      <c r="RG9" s="158"/>
      <c r="RH9" s="158"/>
      <c r="RI9" s="158"/>
      <c r="RJ9" s="158"/>
      <c r="RK9" s="158"/>
      <c r="RL9" s="158"/>
      <c r="RM9" s="158"/>
      <c r="RN9" s="158"/>
      <c r="RO9" s="158"/>
      <c r="RP9" s="158"/>
      <c r="RQ9" s="158"/>
      <c r="RR9" s="158"/>
      <c r="RS9" s="158"/>
      <c r="RT9" s="158"/>
      <c r="RU9" s="158"/>
      <c r="RV9" s="158"/>
      <c r="RW9" s="158"/>
      <c r="RX9" s="158"/>
      <c r="RY9" s="158"/>
      <c r="RZ9" s="158"/>
      <c r="SA9" s="158"/>
      <c r="SB9" s="158"/>
      <c r="SC9" s="158"/>
      <c r="SD9" s="158"/>
      <c r="SE9" s="158"/>
      <c r="SF9" s="158"/>
      <c r="SG9" s="158"/>
      <c r="SH9" s="158"/>
      <c r="SI9" s="158"/>
      <c r="SJ9" s="158"/>
      <c r="SK9" s="158"/>
      <c r="SL9" s="158"/>
      <c r="SM9" s="158"/>
      <c r="SN9" s="158"/>
      <c r="SO9" s="158"/>
      <c r="SP9" s="158"/>
      <c r="SQ9" s="158"/>
      <c r="SR9" s="158"/>
      <c r="SS9" s="158"/>
      <c r="ST9" s="158"/>
      <c r="SU9" s="158"/>
      <c r="SV9" s="158"/>
      <c r="SW9" s="158"/>
      <c r="SX9" s="158"/>
      <c r="SY9" s="158"/>
      <c r="SZ9" s="158"/>
      <c r="TA9" s="158"/>
      <c r="TB9" s="158"/>
      <c r="TC9" s="158"/>
      <c r="TD9" s="158"/>
      <c r="TE9" s="158"/>
      <c r="TF9" s="158"/>
      <c r="TG9" s="158"/>
      <c r="TH9" s="158"/>
      <c r="TI9" s="158"/>
      <c r="TJ9" s="158"/>
      <c r="TK9" s="158"/>
      <c r="TL9" s="158"/>
      <c r="TM9" s="158"/>
      <c r="TN9" s="158"/>
      <c r="TO9" s="158"/>
      <c r="TP9" s="158"/>
      <c r="TQ9" s="158"/>
      <c r="TR9" s="158"/>
      <c r="TS9" s="158"/>
      <c r="TT9" s="158"/>
      <c r="TU9" s="158"/>
      <c r="TV9" s="158"/>
      <c r="TW9" s="158"/>
      <c r="TX9" s="158"/>
      <c r="TY9" s="158"/>
      <c r="TZ9" s="158"/>
      <c r="UA9" s="158"/>
      <c r="UB9" s="158"/>
      <c r="UC9" s="158"/>
      <c r="UD9" s="158"/>
      <c r="UE9" s="158"/>
      <c r="UF9" s="158"/>
      <c r="UG9" s="158"/>
      <c r="UH9" s="158"/>
      <c r="UI9" s="158"/>
      <c r="UJ9" s="158"/>
      <c r="UK9" s="158"/>
      <c r="UL9" s="158"/>
      <c r="UM9" s="158"/>
      <c r="UN9" s="158"/>
      <c r="UO9" s="158"/>
      <c r="UP9" s="158"/>
      <c r="UQ9" s="158"/>
      <c r="UR9" s="158"/>
      <c r="US9" s="158"/>
      <c r="UT9" s="158"/>
      <c r="UU9" s="158"/>
      <c r="UV9" s="158"/>
      <c r="UW9" s="158"/>
      <c r="UX9" s="158"/>
      <c r="UY9" s="158"/>
      <c r="UZ9" s="158"/>
      <c r="VA9" s="158"/>
      <c r="VB9" s="158"/>
      <c r="VC9" s="158"/>
      <c r="VD9" s="158"/>
      <c r="VE9" s="158"/>
      <c r="VF9" s="158"/>
      <c r="VG9" s="158"/>
      <c r="VH9" s="158"/>
      <c r="VI9" s="158"/>
      <c r="VJ9" s="158"/>
      <c r="VK9" s="158"/>
      <c r="VL9" s="158"/>
      <c r="VM9" s="158"/>
      <c r="VN9" s="158"/>
      <c r="VO9" s="158"/>
      <c r="VP9" s="158"/>
      <c r="VQ9" s="158"/>
      <c r="VR9" s="158"/>
      <c r="VS9" s="158"/>
      <c r="VT9" s="158"/>
      <c r="VU9" s="158"/>
      <c r="VV9" s="158"/>
      <c r="VW9" s="158"/>
      <c r="VX9" s="158"/>
      <c r="VY9" s="158"/>
      <c r="VZ9" s="158"/>
      <c r="WA9" s="158"/>
      <c r="WB9" s="158"/>
      <c r="WC9" s="158"/>
      <c r="WD9" s="158"/>
      <c r="WE9" s="158"/>
      <c r="WF9" s="158"/>
      <c r="WG9" s="158"/>
      <c r="WH9" s="158"/>
      <c r="WI9" s="158"/>
      <c r="WJ9" s="158"/>
      <c r="WK9" s="158"/>
      <c r="WL9" s="158"/>
      <c r="WM9" s="158"/>
      <c r="WN9" s="158"/>
      <c r="WO9" s="158"/>
      <c r="WP9" s="158"/>
      <c r="WQ9" s="158"/>
      <c r="WR9" s="158"/>
      <c r="WS9" s="158"/>
      <c r="WT9" s="158"/>
      <c r="WU9" s="158"/>
      <c r="WV9" s="158"/>
      <c r="WW9" s="158"/>
      <c r="WX9" s="158"/>
      <c r="WY9" s="158"/>
      <c r="WZ9" s="158"/>
      <c r="XA9" s="158"/>
      <c r="XB9" s="158"/>
      <c r="XC9" s="158"/>
      <c r="XD9" s="158"/>
      <c r="XE9" s="158"/>
      <c r="XF9" s="158"/>
      <c r="XG9" s="158"/>
      <c r="XH9" s="158"/>
      <c r="XI9" s="158"/>
      <c r="XJ9" s="158"/>
      <c r="XK9" s="158"/>
      <c r="XL9" s="158"/>
      <c r="XM9" s="158"/>
      <c r="XN9" s="158"/>
      <c r="XO9" s="158"/>
      <c r="XP9" s="158"/>
      <c r="XQ9" s="158"/>
      <c r="XR9" s="158"/>
      <c r="XS9" s="158"/>
      <c r="XT9" s="158"/>
      <c r="XU9" s="158"/>
      <c r="XV9" s="158"/>
      <c r="XW9" s="158"/>
      <c r="XX9" s="158"/>
      <c r="XY9" s="158"/>
      <c r="XZ9" s="158"/>
      <c r="YA9" s="158"/>
      <c r="YB9" s="158"/>
      <c r="YC9" s="158"/>
      <c r="YD9" s="158"/>
      <c r="YE9" s="158"/>
      <c r="YF9" s="158"/>
      <c r="YG9" s="158"/>
      <c r="YH9" s="158"/>
      <c r="YI9" s="158"/>
      <c r="YJ9" s="158"/>
      <c r="YK9" s="158"/>
      <c r="YL9" s="158"/>
      <c r="YM9" s="158"/>
      <c r="YN9" s="158"/>
      <c r="YO9" s="158"/>
      <c r="YP9" s="158"/>
      <c r="YQ9" s="158"/>
      <c r="YR9" s="158"/>
      <c r="YS9" s="158"/>
      <c r="YT9" s="158"/>
      <c r="YU9" s="158"/>
      <c r="YV9" s="158"/>
      <c r="YW9" s="158"/>
      <c r="YX9" s="158"/>
      <c r="YY9" s="158"/>
      <c r="YZ9" s="158"/>
      <c r="ZA9" s="158"/>
      <c r="ZB9" s="158"/>
      <c r="ZC9" s="158"/>
      <c r="ZD9" s="158"/>
      <c r="ZE9" s="158"/>
      <c r="ZF9" s="158"/>
      <c r="ZG9" s="158"/>
      <c r="ZH9" s="158"/>
      <c r="ZI9" s="158"/>
      <c r="ZJ9" s="158"/>
      <c r="ZK9" s="158"/>
      <c r="ZL9" s="158"/>
      <c r="ZM9" s="158"/>
      <c r="ZN9" s="158"/>
      <c r="ZO9" s="158"/>
      <c r="ZP9" s="158"/>
      <c r="ZQ9" s="158"/>
      <c r="ZR9" s="158"/>
      <c r="ZS9" s="158"/>
      <c r="ZT9" s="158"/>
      <c r="ZU9" s="158"/>
      <c r="ZV9" s="158"/>
      <c r="ZW9" s="158"/>
      <c r="ZX9" s="158"/>
      <c r="ZY9" s="158"/>
      <c r="ZZ9" s="158"/>
      <c r="AAA9" s="158"/>
      <c r="AAB9" s="158"/>
      <c r="AAC9" s="158"/>
      <c r="AAD9" s="158"/>
      <c r="AAE9" s="158"/>
      <c r="AAF9" s="158"/>
      <c r="AAG9" s="158"/>
      <c r="AAH9" s="158"/>
      <c r="AAI9" s="158"/>
      <c r="AAJ9" s="158"/>
      <c r="AAK9" s="158"/>
      <c r="AAL9" s="158"/>
      <c r="AAM9" s="158"/>
      <c r="AAN9" s="158"/>
      <c r="AAO9" s="158"/>
      <c r="AAP9" s="158"/>
      <c r="AAQ9" s="158"/>
      <c r="AAR9" s="158"/>
      <c r="AAS9" s="158"/>
      <c r="AAT9" s="158"/>
      <c r="AAU9" s="158"/>
      <c r="AAV9" s="158"/>
      <c r="AAW9" s="158"/>
      <c r="AAX9" s="158"/>
      <c r="AAY9" s="158"/>
      <c r="AAZ9" s="158"/>
      <c r="ABA9" s="158"/>
      <c r="ABB9" s="158"/>
      <c r="ABC9" s="158"/>
      <c r="ABD9" s="158"/>
      <c r="ABE9" s="158"/>
      <c r="ABF9" s="158"/>
      <c r="ABG9" s="158"/>
      <c r="ABH9" s="158"/>
      <c r="ABI9" s="158"/>
      <c r="ABJ9" s="158"/>
      <c r="ABK9" s="158"/>
      <c r="ABL9" s="158"/>
      <c r="ABM9" s="158"/>
      <c r="ABN9" s="158"/>
      <c r="ABO9" s="158"/>
      <c r="ABP9" s="158"/>
      <c r="ABQ9" s="158"/>
      <c r="ABR9" s="158"/>
      <c r="ABS9" s="158"/>
      <c r="ABT9" s="158"/>
      <c r="ABU9" s="158"/>
      <c r="ABV9" s="158"/>
      <c r="ABW9" s="158"/>
      <c r="ABX9" s="158"/>
      <c r="ABY9" s="158"/>
      <c r="ABZ9" s="158"/>
      <c r="ACA9" s="158"/>
      <c r="ACB9" s="158"/>
      <c r="ACC9" s="158"/>
      <c r="ACD9" s="158"/>
      <c r="ACE9" s="158"/>
      <c r="ACF9" s="158"/>
      <c r="ACG9" s="158"/>
      <c r="ACH9" s="158"/>
      <c r="ACI9" s="158"/>
      <c r="ACJ9" s="158"/>
      <c r="ACK9" s="158"/>
      <c r="ACL9" s="158"/>
      <c r="ACM9" s="158"/>
      <c r="ACN9" s="158"/>
      <c r="ACO9" s="158"/>
      <c r="ACP9" s="158"/>
      <c r="ACQ9" s="158"/>
      <c r="ACR9" s="158"/>
      <c r="ACS9" s="158"/>
      <c r="ACT9" s="158"/>
      <c r="ACU9" s="158"/>
      <c r="ACV9" s="158"/>
      <c r="ACW9" s="158"/>
      <c r="ACX9" s="158"/>
      <c r="ACY9" s="158"/>
      <c r="ACZ9" s="158"/>
      <c r="ADA9" s="158"/>
      <c r="ADB9" s="158"/>
      <c r="ADC9" s="158"/>
      <c r="ADD9" s="158"/>
      <c r="ADE9" s="158"/>
      <c r="ADF9" s="158"/>
      <c r="ADG9" s="158"/>
      <c r="ADH9" s="158"/>
      <c r="ADI9" s="158"/>
      <c r="ADJ9" s="158"/>
      <c r="ADK9" s="158"/>
      <c r="ADL9" s="158"/>
      <c r="ADM9" s="158"/>
      <c r="ADN9" s="158"/>
      <c r="ADO9" s="158"/>
      <c r="ADP9" s="158"/>
      <c r="ADQ9" s="158"/>
      <c r="ADR9" s="158"/>
      <c r="ADS9" s="158"/>
      <c r="ADT9" s="158"/>
      <c r="ADU9" s="158"/>
      <c r="ADV9" s="158"/>
      <c r="ADW9" s="158"/>
      <c r="ADX9" s="158"/>
      <c r="ADY9" s="158"/>
      <c r="ADZ9" s="158"/>
      <c r="AEA9" s="158"/>
      <c r="AEB9" s="158"/>
      <c r="AEC9" s="158"/>
      <c r="AED9" s="158"/>
      <c r="AEE9" s="158"/>
      <c r="AEF9" s="158"/>
      <c r="AEG9" s="158"/>
      <c r="AEH9" s="158"/>
      <c r="AEI9" s="158"/>
      <c r="AEJ9" s="158"/>
      <c r="AEK9" s="158"/>
      <c r="AEL9" s="158"/>
      <c r="AEM9" s="158"/>
      <c r="AEN9" s="158"/>
      <c r="AEO9" s="158"/>
      <c r="AEP9" s="158"/>
      <c r="AEQ9" s="158"/>
      <c r="AER9" s="158"/>
      <c r="AES9" s="158"/>
      <c r="AET9" s="158"/>
      <c r="AEU9" s="158"/>
      <c r="AEV9" s="158"/>
      <c r="AEW9" s="158"/>
      <c r="AEX9" s="158"/>
      <c r="AEY9" s="158"/>
      <c r="AEZ9" s="158"/>
      <c r="AFA9" s="158"/>
      <c r="AFB9" s="158"/>
      <c r="AFC9" s="158"/>
      <c r="AFD9" s="158"/>
      <c r="AFE9" s="158"/>
      <c r="AFF9" s="158"/>
      <c r="AFG9" s="158"/>
      <c r="AFH9" s="158"/>
      <c r="AFI9" s="158"/>
      <c r="AFJ9" s="158"/>
      <c r="AFK9" s="158"/>
      <c r="AFL9" s="158"/>
      <c r="AFM9" s="158"/>
      <c r="AFN9" s="158"/>
      <c r="AFO9" s="158"/>
      <c r="AFP9" s="158"/>
      <c r="AFQ9" s="158"/>
      <c r="AFR9" s="158"/>
      <c r="AFS9" s="158"/>
      <c r="AFT9" s="158"/>
      <c r="AFU9" s="158"/>
      <c r="AFV9" s="158"/>
      <c r="AFW9" s="158"/>
      <c r="AFX9" s="158"/>
      <c r="AFY9" s="158"/>
      <c r="AFZ9" s="158"/>
      <c r="AGA9" s="158"/>
      <c r="AGB9" s="158"/>
      <c r="AGC9" s="158"/>
      <c r="AGD9" s="158"/>
      <c r="AGE9" s="158"/>
      <c r="AGF9" s="158"/>
      <c r="AGG9" s="158"/>
      <c r="AGH9" s="158"/>
      <c r="AGI9" s="158"/>
      <c r="AGJ9" s="158"/>
      <c r="AGK9" s="158"/>
      <c r="AGL9" s="158"/>
      <c r="AGM9" s="158"/>
      <c r="AGN9" s="158"/>
      <c r="AGO9" s="158"/>
      <c r="AGP9" s="158"/>
      <c r="AGQ9" s="158"/>
      <c r="AGR9" s="158"/>
      <c r="AGS9" s="158"/>
      <c r="AGT9" s="158"/>
      <c r="AGU9" s="158"/>
      <c r="AGV9" s="158"/>
      <c r="AGW9" s="158"/>
      <c r="AGX9" s="158"/>
      <c r="AGY9" s="158"/>
      <c r="AGZ9" s="158"/>
      <c r="AHA9" s="158"/>
      <c r="AHB9" s="158"/>
      <c r="AHC9" s="158"/>
      <c r="AHD9" s="158"/>
      <c r="AHE9" s="158"/>
      <c r="AHF9" s="158"/>
      <c r="AHG9" s="158"/>
      <c r="AHH9" s="158"/>
      <c r="AHI9" s="158"/>
      <c r="AHJ9" s="158"/>
      <c r="AHK9" s="158"/>
      <c r="AHL9" s="158"/>
      <c r="AHM9" s="158"/>
      <c r="AHN9" s="158"/>
      <c r="AHO9" s="158"/>
      <c r="AHP9" s="158"/>
      <c r="AHQ9" s="158"/>
      <c r="AHR9" s="158"/>
      <c r="AHS9" s="158"/>
      <c r="AHT9" s="158"/>
      <c r="AHU9" s="158"/>
      <c r="AHV9" s="158"/>
      <c r="AHW9" s="158"/>
      <c r="AHX9" s="158"/>
      <c r="AHY9" s="158"/>
      <c r="AHZ9" s="158"/>
      <c r="AIA9" s="158"/>
      <c r="AIB9" s="158"/>
      <c r="AIC9" s="158"/>
      <c r="AID9" s="158"/>
      <c r="AIE9" s="158"/>
      <c r="AIF9" s="158"/>
      <c r="AIG9" s="158"/>
      <c r="AIH9" s="158"/>
      <c r="AII9" s="158"/>
      <c r="AIJ9" s="158"/>
      <c r="AIK9" s="158"/>
      <c r="AIL9" s="158"/>
      <c r="AIM9" s="158"/>
      <c r="AIN9" s="158"/>
      <c r="AIO9" s="158"/>
      <c r="AIP9" s="158"/>
      <c r="AIQ9" s="158"/>
      <c r="AIR9" s="158"/>
      <c r="AIS9" s="158"/>
      <c r="AIT9" s="158"/>
      <c r="AIU9" s="158"/>
      <c r="AIV9" s="158"/>
      <c r="AIW9" s="158"/>
      <c r="AIX9" s="158"/>
      <c r="AIY9" s="158"/>
      <c r="AIZ9" s="158"/>
      <c r="AJA9" s="158"/>
      <c r="AJB9" s="158"/>
      <c r="AJC9" s="158"/>
      <c r="AJD9" s="158"/>
      <c r="AJE9" s="158"/>
      <c r="AJF9" s="158"/>
      <c r="AJG9" s="158"/>
      <c r="AJH9" s="158"/>
      <c r="AJI9" s="158"/>
      <c r="AJJ9" s="158"/>
      <c r="AJK9" s="158"/>
      <c r="AJL9" s="158"/>
      <c r="AJM9" s="158"/>
      <c r="AJN9" s="158"/>
      <c r="AJO9" s="158"/>
      <c r="AJP9" s="158"/>
      <c r="AJQ9" s="158"/>
      <c r="AJR9" s="158"/>
      <c r="AJS9" s="158"/>
      <c r="AJT9" s="158"/>
      <c r="AJU9" s="158"/>
      <c r="AJV9" s="158"/>
      <c r="AJW9" s="158"/>
      <c r="AJX9" s="158"/>
      <c r="AJY9" s="158"/>
      <c r="AJZ9" s="158"/>
      <c r="AKA9" s="158"/>
      <c r="AKB9" s="158"/>
      <c r="AKC9" s="158"/>
      <c r="AKD9" s="158"/>
      <c r="AKE9" s="158"/>
      <c r="AKF9" s="158"/>
      <c r="AKG9" s="158"/>
      <c r="AKH9" s="158"/>
      <c r="AKI9" s="158"/>
      <c r="AKJ9" s="158"/>
      <c r="AKK9" s="158"/>
      <c r="AKL9" s="158"/>
      <c r="AKM9" s="158"/>
      <c r="AKN9" s="158"/>
      <c r="AKO9" s="158"/>
      <c r="AKP9" s="158"/>
      <c r="AKQ9" s="158"/>
      <c r="AKR9" s="158"/>
      <c r="AKS9" s="158"/>
      <c r="AKT9" s="158"/>
      <c r="AKU9" s="158"/>
      <c r="AKV9" s="158"/>
      <c r="AKW9" s="158"/>
      <c r="AKX9" s="158"/>
      <c r="AKY9" s="158"/>
      <c r="AKZ9" s="158"/>
      <c r="ALA9" s="158"/>
      <c r="ALB9" s="158"/>
      <c r="ALC9" s="158"/>
      <c r="ALD9" s="158"/>
      <c r="ALE9" s="158"/>
      <c r="ALF9" s="158"/>
      <c r="ALG9" s="158"/>
      <c r="ALH9" s="158"/>
      <c r="ALI9" s="158"/>
      <c r="ALJ9" s="158"/>
      <c r="ALK9" s="158"/>
      <c r="ALL9" s="158"/>
      <c r="ALM9" s="158"/>
      <c r="ALN9" s="158"/>
      <c r="ALO9" s="158"/>
      <c r="ALP9" s="158"/>
      <c r="ALQ9" s="158"/>
      <c r="ALR9" s="158"/>
      <c r="ALS9" s="158"/>
      <c r="ALT9" s="158"/>
      <c r="ALU9" s="158"/>
      <c r="ALV9" s="158"/>
      <c r="ALW9" s="158"/>
      <c r="ALX9" s="158"/>
      <c r="ALY9" s="158"/>
      <c r="ALZ9" s="158"/>
      <c r="AMA9" s="158"/>
      <c r="AMB9" s="158"/>
      <c r="AMC9" s="158"/>
      <c r="AMD9" s="158"/>
      <c r="AME9" s="158"/>
      <c r="AMF9" s="158"/>
      <c r="AMG9" s="158"/>
      <c r="AMH9" s="158"/>
      <c r="AMI9" s="158"/>
      <c r="AMJ9" s="158"/>
      <c r="AMK9" s="158"/>
    </row>
    <row r="10" s="153" customFormat="1" ht="18" customHeight="1" spans="1:55">
      <c r="A10" s="167">
        <v>7</v>
      </c>
      <c r="B10" s="168" t="s">
        <v>54</v>
      </c>
      <c r="C10" s="180" t="s">
        <v>69</v>
      </c>
      <c r="D10" s="168" t="s">
        <v>56</v>
      </c>
      <c r="E10" s="181" t="s">
        <v>70</v>
      </c>
      <c r="F10" s="170" t="str">
        <f t="shared" si="0"/>
        <v>女</v>
      </c>
      <c r="G10" s="171"/>
      <c r="H10" s="172"/>
      <c r="I10" s="172"/>
      <c r="J10" s="172"/>
      <c r="K10" s="172"/>
      <c r="L10" s="205">
        <f>VLOOKUP(C10:C29,'[1]21年02月份'!$E$10:$L$29,8,0)</f>
        <v>725</v>
      </c>
      <c r="M10" s="208">
        <v>0</v>
      </c>
      <c r="N10" s="208">
        <v>0</v>
      </c>
      <c r="O10" s="208">
        <v>0</v>
      </c>
      <c r="P10" s="208">
        <v>0</v>
      </c>
      <c r="Q10" s="213">
        <v>0</v>
      </c>
      <c r="R10" s="205">
        <f t="shared" si="1"/>
        <v>0</v>
      </c>
      <c r="S10" s="205">
        <v>0</v>
      </c>
      <c r="T10" s="205">
        <v>0</v>
      </c>
      <c r="U10" s="205">
        <v>0</v>
      </c>
      <c r="V10" s="205">
        <v>0</v>
      </c>
      <c r="W10" s="205">
        <v>0</v>
      </c>
      <c r="X10" s="205">
        <v>0</v>
      </c>
      <c r="Y10" s="222">
        <f t="shared" si="2"/>
        <v>0</v>
      </c>
      <c r="Z10" s="205">
        <v>0</v>
      </c>
      <c r="AA10" s="220">
        <v>3</v>
      </c>
      <c r="AB10" s="219">
        <f>L10+2500+725</f>
        <v>3950</v>
      </c>
      <c r="AC10" s="221">
        <f>60000</f>
        <v>60000</v>
      </c>
      <c r="AD10" s="221">
        <f t="shared" si="17"/>
        <v>0</v>
      </c>
      <c r="AE10" s="205">
        <f t="shared" si="4"/>
        <v>0</v>
      </c>
      <c r="AF10" s="205">
        <f t="shared" si="5"/>
        <v>0</v>
      </c>
      <c r="AG10" s="205">
        <f t="shared" si="6"/>
        <v>0</v>
      </c>
      <c r="AH10" s="205">
        <f t="shared" si="7"/>
        <v>0</v>
      </c>
      <c r="AI10" s="205">
        <f t="shared" si="18"/>
        <v>0</v>
      </c>
      <c r="AJ10" s="205">
        <f t="shared" si="8"/>
        <v>0</v>
      </c>
      <c r="AK10" s="219">
        <f t="shared" si="9"/>
        <v>0</v>
      </c>
      <c r="AL10" s="219">
        <f t="shared" si="10"/>
        <v>0</v>
      </c>
      <c r="AM10" s="225">
        <f t="shared" si="11"/>
        <v>-56050</v>
      </c>
      <c r="AN10" s="226">
        <f>ROUND(MAX((AM10)*{0.03;0.1;0.2;0.25;0.3;0.35;0.45}-{0;2520;16920;31920;52920;85920;181920},0),2)</f>
        <v>0</v>
      </c>
      <c r="AO10" s="237">
        <v>0</v>
      </c>
      <c r="AP10" s="238">
        <f t="shared" si="12"/>
        <v>0</v>
      </c>
      <c r="AQ10" s="239">
        <f t="shared" si="13"/>
        <v>725</v>
      </c>
      <c r="AR10" s="240"/>
      <c r="AS10" s="239">
        <f t="shared" si="14"/>
        <v>725</v>
      </c>
      <c r="AT10" s="239"/>
      <c r="AU10" s="239">
        <f t="shared" si="15"/>
        <v>725</v>
      </c>
      <c r="AV10" s="239"/>
      <c r="AW10" s="239"/>
      <c r="AX10" s="239"/>
      <c r="AY10" s="239"/>
      <c r="AZ10" s="239"/>
      <c r="BA10" s="246" t="str">
        <f t="shared" si="16"/>
        <v>正确</v>
      </c>
      <c r="BB10" s="246" t="str">
        <f>IF(SUMPRODUCT(N(E$1:E$13=E10))&gt;1,"重复","不")</f>
        <v>不</v>
      </c>
      <c r="BC10" s="246" t="str">
        <f>IF(SUMPRODUCT(N(AX$1:AX$13=AX10))&gt;1,"重复","不")</f>
        <v>重复</v>
      </c>
    </row>
    <row r="11" s="153" customFormat="1" ht="18" customHeight="1" spans="1:55">
      <c r="A11" s="167">
        <v>8</v>
      </c>
      <c r="B11" s="168" t="s">
        <v>54</v>
      </c>
      <c r="C11" s="182" t="s">
        <v>71</v>
      </c>
      <c r="D11" s="168" t="s">
        <v>56</v>
      </c>
      <c r="E11" s="183" t="s">
        <v>72</v>
      </c>
      <c r="F11" s="170" t="str">
        <f t="shared" si="0"/>
        <v>男</v>
      </c>
      <c r="G11" s="171"/>
      <c r="H11" s="172"/>
      <c r="I11" s="172"/>
      <c r="J11" s="172"/>
      <c r="K11" s="172"/>
      <c r="L11" s="205">
        <f>VLOOKUP(C11:C30,'[1]21年02月份'!$E$10:$L$29,8,0)</f>
        <v>2806.95652173913</v>
      </c>
      <c r="M11" s="207">
        <v>320</v>
      </c>
      <c r="N11" s="207">
        <v>110.2</v>
      </c>
      <c r="O11" s="207">
        <v>8</v>
      </c>
      <c r="P11" s="207">
        <v>480</v>
      </c>
      <c r="Q11" s="213">
        <v>0</v>
      </c>
      <c r="R11" s="205">
        <f t="shared" si="1"/>
        <v>918.2</v>
      </c>
      <c r="S11" s="205">
        <v>0</v>
      </c>
      <c r="T11" s="205">
        <v>0</v>
      </c>
      <c r="U11" s="205">
        <v>0</v>
      </c>
      <c r="V11" s="205">
        <v>0</v>
      </c>
      <c r="W11" s="205">
        <v>0</v>
      </c>
      <c r="X11" s="205">
        <v>0</v>
      </c>
      <c r="Y11" s="219">
        <f t="shared" si="2"/>
        <v>0</v>
      </c>
      <c r="Z11" s="205">
        <v>0</v>
      </c>
      <c r="AA11" s="220">
        <v>3</v>
      </c>
      <c r="AB11" s="219">
        <f>L11+6138.18+3840</f>
        <v>12785.1365217391</v>
      </c>
      <c r="AC11" s="221">
        <f>60000</f>
        <v>60000</v>
      </c>
      <c r="AD11" s="221">
        <f t="shared" si="17"/>
        <v>2754.6</v>
      </c>
      <c r="AE11" s="205">
        <f t="shared" si="4"/>
        <v>0</v>
      </c>
      <c r="AF11" s="205">
        <f t="shared" si="5"/>
        <v>0</v>
      </c>
      <c r="AG11" s="205">
        <f t="shared" si="6"/>
        <v>0</v>
      </c>
      <c r="AH11" s="205">
        <f t="shared" si="7"/>
        <v>0</v>
      </c>
      <c r="AI11" s="205">
        <f t="shared" si="18"/>
        <v>0</v>
      </c>
      <c r="AJ11" s="205">
        <f t="shared" si="8"/>
        <v>0</v>
      </c>
      <c r="AK11" s="219">
        <f t="shared" si="9"/>
        <v>0</v>
      </c>
      <c r="AL11" s="219">
        <f t="shared" si="10"/>
        <v>0</v>
      </c>
      <c r="AM11" s="225">
        <f t="shared" si="11"/>
        <v>-49969.46</v>
      </c>
      <c r="AN11" s="226">
        <f>ROUND(MAX((AM11)*{0.03;0.1;0.2;0.25;0.3;0.35;0.45}-{0;2520;16920;31920;52920;85920;181920},0),2)</f>
        <v>0</v>
      </c>
      <c r="AO11" s="237">
        <v>0</v>
      </c>
      <c r="AP11" s="238">
        <v>0</v>
      </c>
      <c r="AQ11" s="239">
        <f t="shared" si="13"/>
        <v>1888.76</v>
      </c>
      <c r="AR11" s="240"/>
      <c r="AS11" s="239">
        <f t="shared" si="14"/>
        <v>1888.76</v>
      </c>
      <c r="AT11" s="239"/>
      <c r="AU11" s="239">
        <f t="shared" si="15"/>
        <v>1888.76</v>
      </c>
      <c r="AV11" s="239"/>
      <c r="AW11" s="239"/>
      <c r="AX11" s="239"/>
      <c r="AY11" s="239"/>
      <c r="AZ11" s="239"/>
      <c r="BA11" s="246" t="str">
        <f t="shared" si="16"/>
        <v>正确</v>
      </c>
      <c r="BB11" s="246" t="str">
        <f>IF(SUMPRODUCT(N(E$1:E$13=E11))&gt;1,"重复","不")</f>
        <v>不</v>
      </c>
      <c r="BC11" s="246" t="str">
        <f>IF(SUMPRODUCT(N(AX$1:AX$13=AX11))&gt;1,"重复","不")</f>
        <v>重复</v>
      </c>
    </row>
    <row r="12" s="153" customFormat="1" ht="18" customHeight="1" spans="1:55">
      <c r="A12" s="167">
        <v>9</v>
      </c>
      <c r="B12" s="168" t="s">
        <v>54</v>
      </c>
      <c r="C12" s="182" t="s">
        <v>73</v>
      </c>
      <c r="D12" s="168" t="s">
        <v>56</v>
      </c>
      <c r="E12" s="183" t="s">
        <v>74</v>
      </c>
      <c r="F12" s="170" t="str">
        <f t="shared" ref="F12:F24" si="19">IF(MOD(MID(E12,17,1),2)=1,"男","女")</f>
        <v>男</v>
      </c>
      <c r="G12" s="171"/>
      <c r="H12" s="172"/>
      <c r="I12" s="172"/>
      <c r="J12" s="172"/>
      <c r="K12" s="172"/>
      <c r="L12" s="205">
        <f>VLOOKUP(C12:C31,'[1]21年02月份'!$E$10:$L$29,8,0)</f>
        <v>12000</v>
      </c>
      <c r="M12" s="207">
        <v>960</v>
      </c>
      <c r="N12" s="207">
        <v>243</v>
      </c>
      <c r="O12" s="207">
        <v>24</v>
      </c>
      <c r="P12" s="207">
        <v>1440</v>
      </c>
      <c r="Q12" s="213">
        <v>0</v>
      </c>
      <c r="R12" s="205">
        <f t="shared" si="1"/>
        <v>2667</v>
      </c>
      <c r="S12" s="205">
        <v>0</v>
      </c>
      <c r="T12" s="205">
        <v>0</v>
      </c>
      <c r="U12" s="205">
        <v>0</v>
      </c>
      <c r="V12" s="205">
        <v>0</v>
      </c>
      <c r="W12" s="205">
        <v>0</v>
      </c>
      <c r="X12" s="205">
        <v>0</v>
      </c>
      <c r="Y12" s="219">
        <f t="shared" si="2"/>
        <v>0</v>
      </c>
      <c r="Z12" s="205">
        <v>0</v>
      </c>
      <c r="AA12" s="220">
        <v>3</v>
      </c>
      <c r="AB12" s="219">
        <f>L12+12000+12000</f>
        <v>36000</v>
      </c>
      <c r="AC12" s="221">
        <f t="shared" si="3"/>
        <v>15000</v>
      </c>
      <c r="AD12" s="221">
        <f t="shared" si="17"/>
        <v>8001</v>
      </c>
      <c r="AE12" s="205">
        <f t="shared" si="4"/>
        <v>0</v>
      </c>
      <c r="AF12" s="205">
        <f t="shared" si="5"/>
        <v>0</v>
      </c>
      <c r="AG12" s="205">
        <f t="shared" si="6"/>
        <v>0</v>
      </c>
      <c r="AH12" s="205">
        <f t="shared" si="7"/>
        <v>0</v>
      </c>
      <c r="AI12" s="205">
        <f t="shared" si="18"/>
        <v>0</v>
      </c>
      <c r="AJ12" s="205">
        <f t="shared" si="8"/>
        <v>0</v>
      </c>
      <c r="AK12" s="219">
        <f t="shared" si="9"/>
        <v>0</v>
      </c>
      <c r="AL12" s="219">
        <f t="shared" si="10"/>
        <v>0</v>
      </c>
      <c r="AM12" s="225">
        <f t="shared" si="11"/>
        <v>12999</v>
      </c>
      <c r="AN12" s="226">
        <f>ROUND(MAX((AM12)*{0.03;0.1;0.2;0.25;0.3;0.35;0.45}-{0;2520;16920;31920;52920;85920;181920},0),2)</f>
        <v>389.97</v>
      </c>
      <c r="AO12" s="237">
        <v>259.98</v>
      </c>
      <c r="AP12" s="238">
        <f>AN12-AO12</f>
        <v>129.99</v>
      </c>
      <c r="AQ12" s="239">
        <f t="shared" si="13"/>
        <v>9203.01</v>
      </c>
      <c r="AR12" s="240"/>
      <c r="AS12" s="239">
        <f t="shared" si="14"/>
        <v>9203.01</v>
      </c>
      <c r="AT12" s="239"/>
      <c r="AU12" s="239">
        <f t="shared" ref="AU12:AU24" si="20">AS12+AR12+AP12+AT12</f>
        <v>9333</v>
      </c>
      <c r="AV12" s="239"/>
      <c r="AW12" s="239"/>
      <c r="AX12" s="239"/>
      <c r="AY12" s="239"/>
      <c r="AZ12" s="239"/>
      <c r="BA12" s="246" t="str">
        <f t="shared" ref="BA12:BA23" si="21">IF(LEN(E12)=18,IF(RIGHT(E12,1)="X",IF(CHOOSE(MOD(SUM(LEFT(RIGHT(E12,18))*7+LEFT(RIGHT(E12,17))*9+LEFT(RIGHT(E12,16))*10+LEFT(RIGHT(E12,15))*5+LEFT(RIGHT(E12,14))*8+LEFT(RIGHT(E12,13))*4+LEFT(RIGHT(E12,12))*2+LEFT(RIGHT(E12,11))*1+LEFT(RIGHT(E12,10))*6+LEFT(RIGHT(E12,9))*3+LEFT(RIGHT(E12,8))*7+LEFT(RIGHT(E12,7))*9+LEFT(RIGHT(E12,6))*10+LEFT(RIGHT(E12,5))*5+LEFT(RIGHT(E12,4))*8+LEFT(RIGHT(E12,3))*4+LEFT(RIGHT(E12,2))*2),11)+1,1,0,"X",9,8,7,6,5,4,3,2)=LEFT(RIGHT(E12,1)),"正确","错误"),IF(CHOOSE(MOD(SUM(LEFT(RIGHT(E12,18))*7+LEFT(RIGHT(E12,17))*9+LEFT(RIGHT(E12,16))*10+LEFT(RIGHT(E12,15))*5+LEFT(RIGHT(E12,14))*8+LEFT(RIGHT(E12,13))*4+LEFT(RIGHT(E12,12))*2+LEFT(RIGHT(E12,11))*1+LEFT(RIGHT(E12,10))*6+LEFT(RIGHT(E12,9))*3+LEFT(RIGHT(E12,8))*7+LEFT(RIGHT(E12,7))*9+LEFT(RIGHT(E12,6))*10+LEFT(RIGHT(E12,5))*5+LEFT(RIGHT(E12,4))*8+LEFT(RIGHT(E12,3))*4+LEFT(RIGHT(E12,2))*2),11)+1,1,0,"X",9,8,7,6,5,4,3,2)=LEFT(RIGHT(E12,1))*1,"正确","错误")),IF(LEN(E12)=15,"老号，请注意！",IF(LEN(E12)=0,"未填写身份证号码","位数不对！")))</f>
        <v>正确</v>
      </c>
      <c r="BB12" s="246" t="str">
        <f t="shared" ref="BB12:BB21" si="22">IF(SUMPRODUCT(N(E$1:E$13=E12))&gt;1,"重复","不")</f>
        <v>不</v>
      </c>
      <c r="BC12" s="246" t="str">
        <f t="shared" ref="BC12:BC21" si="23">IF(SUMPRODUCT(N(AX$1:AX$13=AX12))&gt;1,"重复","不")</f>
        <v>重复</v>
      </c>
    </row>
    <row r="13" s="153" customFormat="1" ht="18" customHeight="1" spans="1:55">
      <c r="A13" s="167">
        <v>10</v>
      </c>
      <c r="B13" s="168" t="s">
        <v>54</v>
      </c>
      <c r="C13" s="184" t="s">
        <v>75</v>
      </c>
      <c r="D13" s="168" t="s">
        <v>56</v>
      </c>
      <c r="E13" s="183" t="s">
        <v>76</v>
      </c>
      <c r="F13" s="170" t="str">
        <f t="shared" si="19"/>
        <v>男</v>
      </c>
      <c r="G13" s="171"/>
      <c r="H13" s="172"/>
      <c r="I13" s="172"/>
      <c r="J13" s="172"/>
      <c r="K13" s="172"/>
      <c r="L13" s="205">
        <f>VLOOKUP(C13:C32,'[1]21年02月份'!$E$10:$L$29,8,0)</f>
        <v>9413.29</v>
      </c>
      <c r="M13" s="206">
        <v>480</v>
      </c>
      <c r="N13" s="206">
        <v>123</v>
      </c>
      <c r="O13" s="206">
        <v>12</v>
      </c>
      <c r="P13" s="206">
        <v>720</v>
      </c>
      <c r="Q13" s="213">
        <v>0</v>
      </c>
      <c r="R13" s="205">
        <f t="shared" si="1"/>
        <v>1335</v>
      </c>
      <c r="S13" s="205">
        <v>0</v>
      </c>
      <c r="T13" s="205">
        <v>0</v>
      </c>
      <c r="U13" s="205">
        <v>500</v>
      </c>
      <c r="V13" s="205">
        <v>0</v>
      </c>
      <c r="W13" s="205">
        <v>0</v>
      </c>
      <c r="X13" s="205">
        <v>0</v>
      </c>
      <c r="Y13" s="219">
        <f t="shared" si="2"/>
        <v>500</v>
      </c>
      <c r="Z13" s="205">
        <v>0</v>
      </c>
      <c r="AA13" s="220">
        <v>3</v>
      </c>
      <c r="AB13" s="219">
        <f>L13+10620+9413.29</f>
        <v>29446.58</v>
      </c>
      <c r="AC13" s="221">
        <f t="shared" si="3"/>
        <v>15000</v>
      </c>
      <c r="AD13" s="221">
        <f t="shared" si="17"/>
        <v>4005</v>
      </c>
      <c r="AE13" s="205">
        <f t="shared" si="4"/>
        <v>0</v>
      </c>
      <c r="AF13" s="205">
        <f t="shared" si="5"/>
        <v>0</v>
      </c>
      <c r="AG13" s="205">
        <f t="shared" si="6"/>
        <v>1500</v>
      </c>
      <c r="AH13" s="205">
        <f t="shared" si="7"/>
        <v>0</v>
      </c>
      <c r="AI13" s="205">
        <f t="shared" si="18"/>
        <v>0</v>
      </c>
      <c r="AJ13" s="205">
        <f t="shared" si="8"/>
        <v>0</v>
      </c>
      <c r="AK13" s="219">
        <f t="shared" si="9"/>
        <v>1500</v>
      </c>
      <c r="AL13" s="219">
        <f t="shared" si="10"/>
        <v>0</v>
      </c>
      <c r="AM13" s="225">
        <f t="shared" si="11"/>
        <v>8941.58</v>
      </c>
      <c r="AN13" s="226">
        <f>ROUND(MAX((AM13)*{0.03;0.1;0.2;0.25;0.3;0.35;0.45}-{0;2520;16920;31920;52920;85920;181920},0),2)</f>
        <v>268.25</v>
      </c>
      <c r="AO13" s="237">
        <v>190.9</v>
      </c>
      <c r="AP13" s="238">
        <f>IF((AN13-AO13)&lt;0,0,AN13-AO13)</f>
        <v>77.35</v>
      </c>
      <c r="AQ13" s="239">
        <f t="shared" si="13"/>
        <v>8000.94</v>
      </c>
      <c r="AR13" s="240"/>
      <c r="AS13" s="239">
        <f t="shared" si="14"/>
        <v>8000.94</v>
      </c>
      <c r="AT13" s="239"/>
      <c r="AU13" s="239">
        <f t="shared" si="20"/>
        <v>8078.29</v>
      </c>
      <c r="AV13" s="239"/>
      <c r="AW13" s="239"/>
      <c r="AX13" s="239"/>
      <c r="AY13" s="239"/>
      <c r="AZ13" s="239"/>
      <c r="BA13" s="246" t="str">
        <f t="shared" si="21"/>
        <v>正确</v>
      </c>
      <c r="BB13" s="246" t="str">
        <f t="shared" si="22"/>
        <v>不</v>
      </c>
      <c r="BC13" s="246" t="str">
        <f t="shared" si="23"/>
        <v>重复</v>
      </c>
    </row>
    <row r="14" s="153" customFormat="1" ht="18" customHeight="1" spans="1:55">
      <c r="A14" s="167">
        <v>11</v>
      </c>
      <c r="B14" s="168" t="s">
        <v>54</v>
      </c>
      <c r="C14" s="185" t="s">
        <v>77</v>
      </c>
      <c r="D14" s="168" t="s">
        <v>56</v>
      </c>
      <c r="E14" s="186" t="s">
        <v>78</v>
      </c>
      <c r="F14" s="170" t="str">
        <f t="shared" si="19"/>
        <v>男</v>
      </c>
      <c r="G14" s="171"/>
      <c r="H14" s="172"/>
      <c r="I14" s="172"/>
      <c r="J14" s="172"/>
      <c r="K14" s="172"/>
      <c r="L14" s="205">
        <f>VLOOKUP(C14:C33,'[1]21年02月份'!$E$10:$L$29,8,0)</f>
        <v>4661.30434782609</v>
      </c>
      <c r="M14" s="207">
        <v>320</v>
      </c>
      <c r="N14" s="207">
        <v>110.2</v>
      </c>
      <c r="O14" s="207">
        <v>8</v>
      </c>
      <c r="P14" s="207">
        <v>480</v>
      </c>
      <c r="Q14" s="213">
        <v>0</v>
      </c>
      <c r="R14" s="205">
        <f t="shared" ref="R14:R24" si="24">ROUND(M14+N14+O14+P14+Q14,2)</f>
        <v>918.2</v>
      </c>
      <c r="S14" s="205">
        <v>0</v>
      </c>
      <c r="T14" s="205">
        <v>0</v>
      </c>
      <c r="U14" s="205">
        <v>0</v>
      </c>
      <c r="V14" s="205">
        <v>0</v>
      </c>
      <c r="W14" s="205">
        <v>0</v>
      </c>
      <c r="X14" s="205">
        <v>0</v>
      </c>
      <c r="Y14" s="219">
        <f t="shared" ref="Y14:Y21" si="25">ROUND(S14+T14+U14+V14+W14+X14,2)</f>
        <v>0</v>
      </c>
      <c r="Z14" s="205">
        <v>0</v>
      </c>
      <c r="AA14" s="220">
        <v>3</v>
      </c>
      <c r="AB14" s="219">
        <f>L14+15800+5460</f>
        <v>25921.3043478261</v>
      </c>
      <c r="AC14" s="221">
        <f>60000</f>
        <v>60000</v>
      </c>
      <c r="AD14" s="221">
        <f t="shared" si="17"/>
        <v>2754.6</v>
      </c>
      <c r="AE14" s="205">
        <f t="shared" ref="AE14:AE21" si="26">S14*AA14</f>
        <v>0</v>
      </c>
      <c r="AF14" s="205">
        <f t="shared" ref="AF14:AF21" si="27">T14*AA14</f>
        <v>0</v>
      </c>
      <c r="AG14" s="205">
        <f t="shared" ref="AG14:AG21" si="28">U14*AA14</f>
        <v>0</v>
      </c>
      <c r="AH14" s="205">
        <f t="shared" ref="AH14:AH21" si="29">V14*AA14</f>
        <v>0</v>
      </c>
      <c r="AI14" s="205">
        <f t="shared" si="18"/>
        <v>0</v>
      </c>
      <c r="AJ14" s="205">
        <f t="shared" ref="AJ14:AJ21" si="30">X14</f>
        <v>0</v>
      </c>
      <c r="AK14" s="219">
        <f t="shared" ref="AK14:AK21" si="31">SUM(AE14:AJ14)</f>
        <v>0</v>
      </c>
      <c r="AL14" s="219">
        <f t="shared" si="10"/>
        <v>0</v>
      </c>
      <c r="AM14" s="225">
        <f t="shared" ref="AM14:AM24" si="32">ROUND(AB14-AC14-AD14-AK14-AL14,2)</f>
        <v>-36833.3</v>
      </c>
      <c r="AN14" s="226">
        <f>ROUND(MAX((AM14)*{0.03;0.1;0.2;0.25;0.3;0.35;0.45}-{0;2520;16920;31920;52920;85920;181920},0),2)</f>
        <v>0</v>
      </c>
      <c r="AO14" s="237">
        <v>0</v>
      </c>
      <c r="AP14" s="238">
        <f t="shared" ref="AP14:AP24" si="33">IF((AN14-AO14)&lt;0,0,AN14-AO14)</f>
        <v>0</v>
      </c>
      <c r="AQ14" s="239">
        <f t="shared" ref="AQ14:AQ24" si="34">ROUND(IF((L14-R14-AP14)&lt;0,0,(L14-R14-AP14)),2)</f>
        <v>3743.1</v>
      </c>
      <c r="AR14" s="240"/>
      <c r="AS14" s="239">
        <f t="shared" ref="AS14:AS24" si="35">AQ14+AR14</f>
        <v>3743.1</v>
      </c>
      <c r="AT14" s="239"/>
      <c r="AU14" s="239">
        <f t="shared" si="20"/>
        <v>3743.1</v>
      </c>
      <c r="AV14" s="239"/>
      <c r="AW14" s="239"/>
      <c r="AX14" s="239"/>
      <c r="AY14" s="239"/>
      <c r="AZ14" s="239"/>
      <c r="BA14" s="246" t="str">
        <f t="shared" si="21"/>
        <v>正确</v>
      </c>
      <c r="BB14" s="246" t="str">
        <f t="shared" si="22"/>
        <v>不</v>
      </c>
      <c r="BC14" s="246" t="str">
        <f t="shared" si="23"/>
        <v>重复</v>
      </c>
    </row>
    <row r="15" s="153" customFormat="1" ht="18" customHeight="1" spans="1:55">
      <c r="A15" s="167">
        <v>12</v>
      </c>
      <c r="B15" s="168" t="s">
        <v>54</v>
      </c>
      <c r="C15" s="185" t="s">
        <v>79</v>
      </c>
      <c r="D15" s="168" t="s">
        <v>56</v>
      </c>
      <c r="E15" s="187" t="s">
        <v>80</v>
      </c>
      <c r="F15" s="170" t="str">
        <f t="shared" si="19"/>
        <v>女</v>
      </c>
      <c r="G15" s="171"/>
      <c r="H15" s="172"/>
      <c r="I15" s="172"/>
      <c r="J15" s="172"/>
      <c r="K15" s="172"/>
      <c r="L15" s="205">
        <f>VLOOKUP(C15:C34,'[1]21年02月份'!$E$10:$L$29,8,0)</f>
        <v>9200</v>
      </c>
      <c r="M15" s="207">
        <v>320</v>
      </c>
      <c r="N15" s="207">
        <v>110.2</v>
      </c>
      <c r="O15" s="207">
        <v>8</v>
      </c>
      <c r="P15" s="207">
        <v>480</v>
      </c>
      <c r="Q15" s="213">
        <v>0</v>
      </c>
      <c r="R15" s="205">
        <f t="shared" si="24"/>
        <v>918.2</v>
      </c>
      <c r="S15" s="205">
        <v>1000</v>
      </c>
      <c r="T15" s="205">
        <v>1000</v>
      </c>
      <c r="U15" s="205">
        <v>0</v>
      </c>
      <c r="V15" s="205">
        <v>0</v>
      </c>
      <c r="W15" s="205">
        <v>0</v>
      </c>
      <c r="X15" s="205">
        <v>0</v>
      </c>
      <c r="Y15" s="219">
        <f t="shared" si="25"/>
        <v>2000</v>
      </c>
      <c r="Z15" s="205">
        <v>0</v>
      </c>
      <c r="AA15" s="220">
        <v>3</v>
      </c>
      <c r="AB15" s="219">
        <f>L15+10748.8+9974.4</f>
        <v>29923.2</v>
      </c>
      <c r="AC15" s="221">
        <f t="shared" ref="AC14:AC23" si="36">5000*AA15</f>
        <v>15000</v>
      </c>
      <c r="AD15" s="221">
        <f t="shared" si="17"/>
        <v>2754.6</v>
      </c>
      <c r="AE15" s="205">
        <f t="shared" si="26"/>
        <v>3000</v>
      </c>
      <c r="AF15" s="205">
        <f t="shared" si="27"/>
        <v>3000</v>
      </c>
      <c r="AG15" s="205">
        <f t="shared" si="28"/>
        <v>0</v>
      </c>
      <c r="AH15" s="205">
        <f t="shared" si="29"/>
        <v>0</v>
      </c>
      <c r="AI15" s="205">
        <f t="shared" si="18"/>
        <v>0</v>
      </c>
      <c r="AJ15" s="205">
        <f t="shared" si="30"/>
        <v>0</v>
      </c>
      <c r="AK15" s="219">
        <f t="shared" si="31"/>
        <v>6000</v>
      </c>
      <c r="AL15" s="219">
        <f t="shared" si="10"/>
        <v>0</v>
      </c>
      <c r="AM15" s="225">
        <f t="shared" si="32"/>
        <v>6168.6</v>
      </c>
      <c r="AN15" s="226">
        <f>ROUND(MAX((AM15)*{0.03;0.1;0.2;0.25;0.3;0.35;0.45}-{0;2520;16920;31920;52920;85920;181920},0),2)</f>
        <v>185.06</v>
      </c>
      <c r="AO15" s="237">
        <v>146.6</v>
      </c>
      <c r="AP15" s="238">
        <f t="shared" si="33"/>
        <v>38.46</v>
      </c>
      <c r="AQ15" s="239">
        <f t="shared" si="34"/>
        <v>8243.34</v>
      </c>
      <c r="AR15" s="240"/>
      <c r="AS15" s="239">
        <f t="shared" si="35"/>
        <v>8243.34</v>
      </c>
      <c r="AT15" s="239"/>
      <c r="AU15" s="239">
        <f t="shared" si="20"/>
        <v>8281.8</v>
      </c>
      <c r="AV15" s="239"/>
      <c r="AW15" s="239"/>
      <c r="AX15" s="239"/>
      <c r="AY15" s="239"/>
      <c r="AZ15" s="239"/>
      <c r="BA15" s="246" t="str">
        <f t="shared" si="21"/>
        <v>正确</v>
      </c>
      <c r="BB15" s="246" t="str">
        <f t="shared" si="22"/>
        <v>不</v>
      </c>
      <c r="BC15" s="246" t="str">
        <f t="shared" si="23"/>
        <v>重复</v>
      </c>
    </row>
    <row r="16" s="153" customFormat="1" ht="18" customHeight="1" spans="1:55">
      <c r="A16" s="167">
        <v>13</v>
      </c>
      <c r="B16" s="168" t="s">
        <v>54</v>
      </c>
      <c r="C16" s="188" t="s">
        <v>81</v>
      </c>
      <c r="D16" s="168" t="s">
        <v>56</v>
      </c>
      <c r="E16" s="189" t="s">
        <v>82</v>
      </c>
      <c r="F16" s="170" t="str">
        <f t="shared" si="19"/>
        <v>男</v>
      </c>
      <c r="G16" s="171"/>
      <c r="H16" s="172"/>
      <c r="I16" s="172"/>
      <c r="J16" s="172"/>
      <c r="K16" s="172"/>
      <c r="L16" s="205">
        <f>VLOOKUP(C16:C35,'[1]21年02月份'!$E$10:$L$29,8,0)</f>
        <v>22280</v>
      </c>
      <c r="M16" s="206">
        <v>480</v>
      </c>
      <c r="N16" s="206">
        <v>123</v>
      </c>
      <c r="O16" s="206">
        <v>12</v>
      </c>
      <c r="P16" s="206">
        <v>720</v>
      </c>
      <c r="Q16" s="213">
        <v>0</v>
      </c>
      <c r="R16" s="205">
        <f t="shared" si="24"/>
        <v>1335</v>
      </c>
      <c r="S16" s="205">
        <v>2000</v>
      </c>
      <c r="T16" s="205">
        <v>2000</v>
      </c>
      <c r="U16" s="205">
        <v>0</v>
      </c>
      <c r="V16" s="205">
        <v>0</v>
      </c>
      <c r="W16" s="205">
        <v>0</v>
      </c>
      <c r="X16" s="205">
        <v>0</v>
      </c>
      <c r="Y16" s="219">
        <f t="shared" si="25"/>
        <v>4000</v>
      </c>
      <c r="Z16" s="205">
        <v>0</v>
      </c>
      <c r="AA16" s="220">
        <v>3</v>
      </c>
      <c r="AB16" s="219">
        <f>L16+23240+23640</f>
        <v>69160</v>
      </c>
      <c r="AC16" s="221">
        <f t="shared" si="36"/>
        <v>15000</v>
      </c>
      <c r="AD16" s="221">
        <f t="shared" si="17"/>
        <v>4005</v>
      </c>
      <c r="AE16" s="205">
        <f t="shared" si="26"/>
        <v>6000</v>
      </c>
      <c r="AF16" s="205">
        <f t="shared" si="27"/>
        <v>6000</v>
      </c>
      <c r="AG16" s="205">
        <f t="shared" si="28"/>
        <v>0</v>
      </c>
      <c r="AH16" s="205">
        <f t="shared" si="29"/>
        <v>0</v>
      </c>
      <c r="AI16" s="205">
        <f t="shared" si="18"/>
        <v>0</v>
      </c>
      <c r="AJ16" s="205">
        <f t="shared" si="30"/>
        <v>0</v>
      </c>
      <c r="AK16" s="219">
        <f t="shared" si="31"/>
        <v>12000</v>
      </c>
      <c r="AL16" s="219">
        <f t="shared" si="10"/>
        <v>0</v>
      </c>
      <c r="AM16" s="225">
        <f t="shared" si="32"/>
        <v>38155</v>
      </c>
      <c r="AN16" s="226">
        <f>ROUND(MAX((AM16)*{0.03;0.1;0.2;0.25;0.3;0.35;0.45}-{0;2520;16920;31920;52920;85920;181920},0),2)</f>
        <v>1295.5</v>
      </c>
      <c r="AO16" s="237">
        <v>786.3</v>
      </c>
      <c r="AP16" s="238">
        <f t="shared" si="33"/>
        <v>509.2</v>
      </c>
      <c r="AQ16" s="239">
        <f t="shared" si="34"/>
        <v>20435.8</v>
      </c>
      <c r="AR16" s="240"/>
      <c r="AS16" s="239">
        <f t="shared" si="35"/>
        <v>20435.8</v>
      </c>
      <c r="AT16" s="239"/>
      <c r="AU16" s="239">
        <f t="shared" si="20"/>
        <v>20945</v>
      </c>
      <c r="AV16" s="239"/>
      <c r="AW16" s="239"/>
      <c r="AX16" s="239"/>
      <c r="AY16" s="239"/>
      <c r="AZ16" s="239"/>
      <c r="BA16" s="246" t="str">
        <f t="shared" si="21"/>
        <v>正确</v>
      </c>
      <c r="BB16" s="246" t="str">
        <f t="shared" si="22"/>
        <v>不</v>
      </c>
      <c r="BC16" s="246" t="str">
        <f t="shared" si="23"/>
        <v>重复</v>
      </c>
    </row>
    <row r="17" s="153" customFormat="1" ht="18" customHeight="1" spans="1:55">
      <c r="A17" s="167">
        <v>14</v>
      </c>
      <c r="B17" s="168" t="s">
        <v>54</v>
      </c>
      <c r="C17" s="190" t="s">
        <v>83</v>
      </c>
      <c r="D17" s="168" t="s">
        <v>56</v>
      </c>
      <c r="E17" s="186" t="s">
        <v>84</v>
      </c>
      <c r="F17" s="170" t="str">
        <f t="shared" si="19"/>
        <v>男</v>
      </c>
      <c r="G17" s="171"/>
      <c r="H17" s="172"/>
      <c r="I17" s="172"/>
      <c r="J17" s="172"/>
      <c r="K17" s="172"/>
      <c r="L17" s="205">
        <f>VLOOKUP(C17:C36,'[1]21年02月份'!$E$10:$L$29,8,0)</f>
        <v>18860</v>
      </c>
      <c r="M17" s="208">
        <v>360</v>
      </c>
      <c r="N17" s="207">
        <v>110.2</v>
      </c>
      <c r="O17" s="208">
        <v>0</v>
      </c>
      <c r="P17" s="208">
        <v>540</v>
      </c>
      <c r="Q17" s="213">
        <v>0</v>
      </c>
      <c r="R17" s="205">
        <f t="shared" si="24"/>
        <v>1010.2</v>
      </c>
      <c r="S17" s="205">
        <v>0</v>
      </c>
      <c r="T17" s="205">
        <v>0</v>
      </c>
      <c r="U17" s="205">
        <v>1000</v>
      </c>
      <c r="V17" s="205">
        <v>0</v>
      </c>
      <c r="W17" s="205">
        <v>0</v>
      </c>
      <c r="X17" s="205">
        <v>0</v>
      </c>
      <c r="Y17" s="219">
        <f t="shared" si="25"/>
        <v>1000</v>
      </c>
      <c r="Z17" s="205">
        <v>0</v>
      </c>
      <c r="AA17" s="220">
        <v>3</v>
      </c>
      <c r="AB17" s="219">
        <f>L17+18220+16460</f>
        <v>53540</v>
      </c>
      <c r="AC17" s="221">
        <f t="shared" si="36"/>
        <v>15000</v>
      </c>
      <c r="AD17" s="221">
        <f t="shared" si="17"/>
        <v>3030.6</v>
      </c>
      <c r="AE17" s="205">
        <f t="shared" si="26"/>
        <v>0</v>
      </c>
      <c r="AF17" s="205">
        <f t="shared" si="27"/>
        <v>0</v>
      </c>
      <c r="AG17" s="205">
        <f t="shared" si="28"/>
        <v>3000</v>
      </c>
      <c r="AH17" s="205">
        <f t="shared" si="29"/>
        <v>0</v>
      </c>
      <c r="AI17" s="205">
        <f t="shared" si="18"/>
        <v>0</v>
      </c>
      <c r="AJ17" s="205">
        <f t="shared" si="30"/>
        <v>0</v>
      </c>
      <c r="AK17" s="219">
        <f t="shared" si="31"/>
        <v>3000</v>
      </c>
      <c r="AL17" s="219">
        <f t="shared" si="10"/>
        <v>0</v>
      </c>
      <c r="AM17" s="225">
        <f t="shared" si="32"/>
        <v>32509.4</v>
      </c>
      <c r="AN17" s="226">
        <f>ROUND(MAX((AM17)*{0.03;0.1;0.2;0.25;0.3;0.35;0.45}-{0;2520;16920;31920;52920;85920;181920},0),2)</f>
        <v>975.28</v>
      </c>
      <c r="AO17" s="237">
        <v>619.79</v>
      </c>
      <c r="AP17" s="238">
        <f t="shared" si="33"/>
        <v>355.49</v>
      </c>
      <c r="AQ17" s="239">
        <f t="shared" si="34"/>
        <v>17494.31</v>
      </c>
      <c r="AR17" s="240"/>
      <c r="AS17" s="239">
        <f t="shared" si="35"/>
        <v>17494.31</v>
      </c>
      <c r="AT17" s="239"/>
      <c r="AU17" s="239">
        <f t="shared" si="20"/>
        <v>17849.8</v>
      </c>
      <c r="AV17" s="239"/>
      <c r="AW17" s="239"/>
      <c r="AX17" s="239"/>
      <c r="AY17" s="239"/>
      <c r="AZ17" s="239"/>
      <c r="BA17" s="246" t="str">
        <f t="shared" si="21"/>
        <v>正确</v>
      </c>
      <c r="BB17" s="246" t="str">
        <f t="shared" si="22"/>
        <v>不</v>
      </c>
      <c r="BC17" s="246" t="str">
        <f t="shared" si="23"/>
        <v>重复</v>
      </c>
    </row>
    <row r="18" s="153" customFormat="1" ht="18" customHeight="1" spans="1:55">
      <c r="A18" s="167">
        <v>15</v>
      </c>
      <c r="B18" s="168" t="s">
        <v>54</v>
      </c>
      <c r="C18" s="190" t="s">
        <v>85</v>
      </c>
      <c r="D18" s="168" t="s">
        <v>56</v>
      </c>
      <c r="E18" s="186" t="s">
        <v>86</v>
      </c>
      <c r="F18" s="170" t="str">
        <f t="shared" si="19"/>
        <v>男</v>
      </c>
      <c r="G18" s="171"/>
      <c r="H18" s="172"/>
      <c r="I18" s="172"/>
      <c r="J18" s="172"/>
      <c r="K18" s="172"/>
      <c r="L18" s="205">
        <f>VLOOKUP(C18:C37,'[1]21年02月份'!$E$10:$L$29,8,0)</f>
        <v>16740</v>
      </c>
      <c r="M18" s="208">
        <v>360</v>
      </c>
      <c r="N18" s="207">
        <v>110.2</v>
      </c>
      <c r="O18" s="208">
        <v>0</v>
      </c>
      <c r="P18" s="208">
        <v>540</v>
      </c>
      <c r="Q18" s="213">
        <v>0</v>
      </c>
      <c r="R18" s="205">
        <f t="shared" si="24"/>
        <v>1010.2</v>
      </c>
      <c r="S18" s="205">
        <v>0</v>
      </c>
      <c r="T18" s="205">
        <v>0</v>
      </c>
      <c r="U18" s="205">
        <v>1000</v>
      </c>
      <c r="V18" s="205">
        <v>0</v>
      </c>
      <c r="W18" s="205">
        <v>0</v>
      </c>
      <c r="X18" s="205">
        <v>0</v>
      </c>
      <c r="Y18" s="219">
        <f t="shared" si="25"/>
        <v>1000</v>
      </c>
      <c r="Z18" s="205">
        <v>0</v>
      </c>
      <c r="AA18" s="220">
        <v>3</v>
      </c>
      <c r="AB18" s="219">
        <f>L18+15460+18020</f>
        <v>50220</v>
      </c>
      <c r="AC18" s="221">
        <f t="shared" si="36"/>
        <v>15000</v>
      </c>
      <c r="AD18" s="221">
        <f t="shared" si="17"/>
        <v>3030.6</v>
      </c>
      <c r="AE18" s="205">
        <f t="shared" si="26"/>
        <v>0</v>
      </c>
      <c r="AF18" s="205">
        <f t="shared" si="27"/>
        <v>0</v>
      </c>
      <c r="AG18" s="205">
        <f t="shared" si="28"/>
        <v>3000</v>
      </c>
      <c r="AH18" s="205">
        <f t="shared" si="29"/>
        <v>0</v>
      </c>
      <c r="AI18" s="205">
        <f t="shared" si="18"/>
        <v>0</v>
      </c>
      <c r="AJ18" s="205">
        <f t="shared" si="30"/>
        <v>0</v>
      </c>
      <c r="AK18" s="219">
        <f t="shared" si="31"/>
        <v>3000</v>
      </c>
      <c r="AL18" s="219">
        <f t="shared" si="10"/>
        <v>0</v>
      </c>
      <c r="AM18" s="225">
        <f t="shared" si="32"/>
        <v>29189.4</v>
      </c>
      <c r="AN18" s="226">
        <f>ROUND(MAX((AM18)*{0.03;0.1;0.2;0.25;0.3;0.35;0.45}-{0;2520;16920;31920;52920;85920;181920},0),2)</f>
        <v>875.68</v>
      </c>
      <c r="AO18" s="237">
        <v>583.79</v>
      </c>
      <c r="AP18" s="238">
        <f t="shared" si="33"/>
        <v>291.89</v>
      </c>
      <c r="AQ18" s="239">
        <f t="shared" si="34"/>
        <v>15437.91</v>
      </c>
      <c r="AR18" s="240"/>
      <c r="AS18" s="239">
        <f t="shared" si="35"/>
        <v>15437.91</v>
      </c>
      <c r="AT18" s="239"/>
      <c r="AU18" s="239">
        <f t="shared" si="20"/>
        <v>15729.8</v>
      </c>
      <c r="AV18" s="239"/>
      <c r="AW18" s="239"/>
      <c r="AX18" s="239"/>
      <c r="AY18" s="239"/>
      <c r="AZ18" s="239"/>
      <c r="BA18" s="246" t="str">
        <f t="shared" si="21"/>
        <v>正确</v>
      </c>
      <c r="BB18" s="246" t="str">
        <f t="shared" si="22"/>
        <v>不</v>
      </c>
      <c r="BC18" s="246" t="str">
        <f t="shared" si="23"/>
        <v>重复</v>
      </c>
    </row>
    <row r="19" s="153" customFormat="1" ht="18" customHeight="1" spans="1:55">
      <c r="A19" s="167">
        <v>16</v>
      </c>
      <c r="B19" s="168" t="s">
        <v>54</v>
      </c>
      <c r="C19" s="185" t="s">
        <v>87</v>
      </c>
      <c r="D19" s="168" t="s">
        <v>56</v>
      </c>
      <c r="E19" s="186" t="s">
        <v>88</v>
      </c>
      <c r="F19" s="170" t="str">
        <f t="shared" si="19"/>
        <v>男</v>
      </c>
      <c r="G19" s="171"/>
      <c r="H19" s="172"/>
      <c r="I19" s="172"/>
      <c r="J19" s="172"/>
      <c r="K19" s="172"/>
      <c r="L19" s="205">
        <f>VLOOKUP(C19:C38,'[1]21年02月份'!$E$10:$L$29,8,0)</f>
        <v>11060</v>
      </c>
      <c r="M19" s="207">
        <v>320</v>
      </c>
      <c r="N19" s="207">
        <v>110.2</v>
      </c>
      <c r="O19" s="207">
        <v>0</v>
      </c>
      <c r="P19" s="207">
        <v>0</v>
      </c>
      <c r="Q19" s="213">
        <v>0</v>
      </c>
      <c r="R19" s="205">
        <f t="shared" si="24"/>
        <v>430.2</v>
      </c>
      <c r="S19" s="205">
        <v>0</v>
      </c>
      <c r="T19" s="205">
        <v>0</v>
      </c>
      <c r="U19" s="205">
        <v>0</v>
      </c>
      <c r="V19" s="205">
        <v>0</v>
      </c>
      <c r="W19" s="205">
        <v>400</v>
      </c>
      <c r="X19" s="205">
        <v>0</v>
      </c>
      <c r="Y19" s="219">
        <f t="shared" si="25"/>
        <v>400</v>
      </c>
      <c r="Z19" s="205">
        <v>0</v>
      </c>
      <c r="AA19" s="220">
        <v>3</v>
      </c>
      <c r="AB19" s="219">
        <f>L19+17226.36+14020</f>
        <v>42306.36</v>
      </c>
      <c r="AC19" s="221">
        <f t="shared" si="36"/>
        <v>15000</v>
      </c>
      <c r="AD19" s="221">
        <f t="shared" si="17"/>
        <v>1290.6</v>
      </c>
      <c r="AE19" s="205">
        <f t="shared" si="26"/>
        <v>0</v>
      </c>
      <c r="AF19" s="205">
        <f t="shared" si="27"/>
        <v>0</v>
      </c>
      <c r="AG19" s="205">
        <f t="shared" si="28"/>
        <v>0</v>
      </c>
      <c r="AH19" s="205">
        <f t="shared" si="29"/>
        <v>0</v>
      </c>
      <c r="AI19" s="205">
        <f t="shared" si="18"/>
        <v>1200</v>
      </c>
      <c r="AJ19" s="205">
        <f t="shared" si="30"/>
        <v>0</v>
      </c>
      <c r="AK19" s="219">
        <f t="shared" si="31"/>
        <v>1200</v>
      </c>
      <c r="AL19" s="219">
        <f t="shared" si="10"/>
        <v>0</v>
      </c>
      <c r="AM19" s="225">
        <f t="shared" si="32"/>
        <v>24815.76</v>
      </c>
      <c r="AN19" s="226">
        <f>ROUND(MAX((AM19)*{0.03;0.1;0.2;0.25;0.3;0.35;0.45}-{0;2520;16920;31920;52920;85920;181920},0),2)</f>
        <v>744.47</v>
      </c>
      <c r="AO19" s="237">
        <v>587.58</v>
      </c>
      <c r="AP19" s="238">
        <f t="shared" si="33"/>
        <v>156.89</v>
      </c>
      <c r="AQ19" s="239">
        <f t="shared" si="34"/>
        <v>10472.91</v>
      </c>
      <c r="AR19" s="240"/>
      <c r="AS19" s="239">
        <f t="shared" si="35"/>
        <v>10472.91</v>
      </c>
      <c r="AT19" s="239"/>
      <c r="AU19" s="239">
        <f t="shared" si="20"/>
        <v>10629.8</v>
      </c>
      <c r="AV19" s="239"/>
      <c r="AW19" s="239"/>
      <c r="AX19" s="239"/>
      <c r="AY19" s="239"/>
      <c r="AZ19" s="239"/>
      <c r="BA19" s="246" t="str">
        <f t="shared" si="21"/>
        <v>正确</v>
      </c>
      <c r="BB19" s="246" t="str">
        <f t="shared" si="22"/>
        <v>不</v>
      </c>
      <c r="BC19" s="246" t="str">
        <f t="shared" si="23"/>
        <v>重复</v>
      </c>
    </row>
    <row r="20" s="153" customFormat="1" ht="18" customHeight="1" spans="1:55">
      <c r="A20" s="167">
        <v>17</v>
      </c>
      <c r="B20" s="168" t="s">
        <v>54</v>
      </c>
      <c r="C20" s="185" t="s">
        <v>89</v>
      </c>
      <c r="D20" s="168" t="s">
        <v>56</v>
      </c>
      <c r="E20" s="186" t="s">
        <v>90</v>
      </c>
      <c r="F20" s="170" t="str">
        <f t="shared" si="19"/>
        <v>男</v>
      </c>
      <c r="G20" s="171"/>
      <c r="H20" s="172"/>
      <c r="I20" s="172"/>
      <c r="J20" s="172"/>
      <c r="K20" s="172"/>
      <c r="L20" s="205">
        <f>VLOOKUP(C20:C39,'[1]21年02月份'!$E$10:$L$29,8,0)</f>
        <v>11880</v>
      </c>
      <c r="M20" s="207">
        <v>320</v>
      </c>
      <c r="N20" s="207">
        <v>110.2</v>
      </c>
      <c r="O20" s="207">
        <v>0</v>
      </c>
      <c r="P20" s="207">
        <v>480</v>
      </c>
      <c r="Q20" s="213">
        <v>0</v>
      </c>
      <c r="R20" s="205">
        <f t="shared" si="24"/>
        <v>910.2</v>
      </c>
      <c r="S20" s="205">
        <v>0</v>
      </c>
      <c r="T20" s="205">
        <v>0</v>
      </c>
      <c r="U20" s="205">
        <v>0</v>
      </c>
      <c r="V20" s="205">
        <v>0</v>
      </c>
      <c r="W20" s="205">
        <v>0</v>
      </c>
      <c r="X20" s="205">
        <v>0</v>
      </c>
      <c r="Y20" s="219">
        <f t="shared" si="25"/>
        <v>0</v>
      </c>
      <c r="Z20" s="205">
        <v>0</v>
      </c>
      <c r="AA20" s="220">
        <v>3</v>
      </c>
      <c r="AB20" s="219">
        <f>L20+11020+16340</f>
        <v>39240</v>
      </c>
      <c r="AC20" s="221">
        <f t="shared" si="36"/>
        <v>15000</v>
      </c>
      <c r="AD20" s="221">
        <f t="shared" si="17"/>
        <v>2730.6</v>
      </c>
      <c r="AE20" s="205">
        <f t="shared" si="26"/>
        <v>0</v>
      </c>
      <c r="AF20" s="205">
        <f t="shared" si="27"/>
        <v>0</v>
      </c>
      <c r="AG20" s="205">
        <f t="shared" si="28"/>
        <v>0</v>
      </c>
      <c r="AH20" s="205">
        <f t="shared" si="29"/>
        <v>0</v>
      </c>
      <c r="AI20" s="205">
        <f t="shared" si="18"/>
        <v>0</v>
      </c>
      <c r="AJ20" s="205">
        <f t="shared" si="30"/>
        <v>0</v>
      </c>
      <c r="AK20" s="219">
        <f t="shared" si="31"/>
        <v>0</v>
      </c>
      <c r="AL20" s="219">
        <f t="shared" si="10"/>
        <v>0</v>
      </c>
      <c r="AM20" s="225">
        <f t="shared" si="32"/>
        <v>21509.4</v>
      </c>
      <c r="AN20" s="226">
        <f>ROUND(MAX((AM20)*{0.03;0.1;0.2;0.25;0.3;0.35;0.45}-{0;2520;16920;31920;52920;85920;181920},0),2)</f>
        <v>645.28</v>
      </c>
      <c r="AO20" s="237">
        <v>466.19</v>
      </c>
      <c r="AP20" s="238">
        <f t="shared" si="33"/>
        <v>179.09</v>
      </c>
      <c r="AQ20" s="239">
        <f t="shared" si="34"/>
        <v>10790.71</v>
      </c>
      <c r="AR20" s="240"/>
      <c r="AS20" s="239">
        <f t="shared" si="35"/>
        <v>10790.71</v>
      </c>
      <c r="AT20" s="239"/>
      <c r="AU20" s="239">
        <f t="shared" si="20"/>
        <v>10969.8</v>
      </c>
      <c r="AV20" s="239"/>
      <c r="AW20" s="239"/>
      <c r="AX20" s="239"/>
      <c r="AY20" s="239"/>
      <c r="AZ20" s="239"/>
      <c r="BA20" s="246" t="str">
        <f t="shared" si="21"/>
        <v>正确</v>
      </c>
      <c r="BB20" s="246" t="str">
        <f t="shared" si="22"/>
        <v>不</v>
      </c>
      <c r="BC20" s="246" t="str">
        <f t="shared" si="23"/>
        <v>重复</v>
      </c>
    </row>
    <row r="21" s="153" customFormat="1" ht="18" customHeight="1" spans="1:55">
      <c r="A21" s="167">
        <v>19</v>
      </c>
      <c r="B21" s="168" t="s">
        <v>54</v>
      </c>
      <c r="C21" s="191" t="s">
        <v>91</v>
      </c>
      <c r="D21" s="168" t="s">
        <v>56</v>
      </c>
      <c r="E21" s="192" t="s">
        <v>92</v>
      </c>
      <c r="F21" s="170" t="str">
        <f t="shared" si="19"/>
        <v>男</v>
      </c>
      <c r="G21" s="171"/>
      <c r="H21" s="172"/>
      <c r="I21" s="172"/>
      <c r="J21" s="172"/>
      <c r="K21" s="172"/>
      <c r="L21" s="205">
        <f>VLOOKUP(C21:C40,'[1]21年02月份'!$E$10:$L$29,8,0)</f>
        <v>5000</v>
      </c>
      <c r="M21" s="207">
        <v>400</v>
      </c>
      <c r="N21" s="207">
        <v>110.2</v>
      </c>
      <c r="O21" s="207">
        <v>10</v>
      </c>
      <c r="P21" s="207">
        <v>600</v>
      </c>
      <c r="Q21" s="213">
        <v>0</v>
      </c>
      <c r="R21" s="205">
        <f t="shared" si="24"/>
        <v>1120.2</v>
      </c>
      <c r="S21" s="205"/>
      <c r="T21" s="205"/>
      <c r="U21" s="205"/>
      <c r="V21" s="205"/>
      <c r="W21" s="205"/>
      <c r="X21" s="205"/>
      <c r="Y21" s="219"/>
      <c r="Z21" s="205"/>
      <c r="AA21" s="220">
        <v>3</v>
      </c>
      <c r="AB21" s="219">
        <f>L21*AA21</f>
        <v>15000</v>
      </c>
      <c r="AC21" s="221">
        <f t="shared" si="36"/>
        <v>15000</v>
      </c>
      <c r="AD21" s="221">
        <f t="shared" si="17"/>
        <v>3360.6</v>
      </c>
      <c r="AE21" s="205"/>
      <c r="AF21" s="205"/>
      <c r="AG21" s="205"/>
      <c r="AH21" s="205"/>
      <c r="AI21" s="205"/>
      <c r="AJ21" s="205"/>
      <c r="AK21" s="219"/>
      <c r="AL21" s="219"/>
      <c r="AM21" s="225">
        <f t="shared" si="32"/>
        <v>-3360.6</v>
      </c>
      <c r="AN21" s="226">
        <f>ROUND(MAX((AM21)*{0.03;0.1;0.2;0.25;0.3;0.35;0.45}-{0;2520;16920;31920;52920;85920;181920},0),2)</f>
        <v>0</v>
      </c>
      <c r="AO21" s="237">
        <v>0</v>
      </c>
      <c r="AP21" s="238">
        <f t="shared" si="33"/>
        <v>0</v>
      </c>
      <c r="AQ21" s="239">
        <f t="shared" si="34"/>
        <v>3879.8</v>
      </c>
      <c r="AR21" s="240"/>
      <c r="AS21" s="239">
        <f t="shared" si="35"/>
        <v>3879.8</v>
      </c>
      <c r="AT21" s="239"/>
      <c r="AU21" s="239">
        <f t="shared" si="20"/>
        <v>3879.8</v>
      </c>
      <c r="AV21" s="239"/>
      <c r="AW21" s="239"/>
      <c r="AX21" s="239"/>
      <c r="AY21" s="239"/>
      <c r="AZ21" s="239"/>
      <c r="BA21" s="246" t="str">
        <f t="shared" si="21"/>
        <v>正确</v>
      </c>
      <c r="BB21" s="246" t="str">
        <f>IF(SUMPRODUCT(N(E$1:E$13=E21))&gt;1,"重复","不")</f>
        <v>不</v>
      </c>
      <c r="BC21" s="246" t="str">
        <f>IF(SUMPRODUCT(N(AX$1:AX$13=AX21))&gt;1,"重复","不")</f>
        <v>重复</v>
      </c>
    </row>
    <row r="22" s="153" customFormat="1" ht="18" customHeight="1" spans="1:55">
      <c r="A22" s="167">
        <v>20</v>
      </c>
      <c r="B22" s="168" t="s">
        <v>54</v>
      </c>
      <c r="C22" s="191" t="s">
        <v>93</v>
      </c>
      <c r="D22" s="168" t="s">
        <v>56</v>
      </c>
      <c r="E22" s="249" t="s">
        <v>94</v>
      </c>
      <c r="F22" s="170" t="str">
        <f t="shared" si="19"/>
        <v>女</v>
      </c>
      <c r="G22" s="171"/>
      <c r="H22" s="172"/>
      <c r="I22" s="172"/>
      <c r="J22" s="172"/>
      <c r="K22" s="172"/>
      <c r="L22" s="205">
        <f>VLOOKUP(C22:C41,'[1]21年02月份'!$E$10:$L$29,8,0)</f>
        <v>4000</v>
      </c>
      <c r="M22" s="207">
        <v>320</v>
      </c>
      <c r="N22" s="207">
        <v>110.2</v>
      </c>
      <c r="O22" s="207">
        <v>8</v>
      </c>
      <c r="P22" s="207">
        <v>480</v>
      </c>
      <c r="Q22" s="213">
        <v>0</v>
      </c>
      <c r="R22" s="205">
        <f t="shared" si="24"/>
        <v>918.2</v>
      </c>
      <c r="S22" s="205"/>
      <c r="T22" s="205"/>
      <c r="U22" s="205"/>
      <c r="V22" s="205"/>
      <c r="W22" s="205"/>
      <c r="X22" s="205"/>
      <c r="Y22" s="219"/>
      <c r="Z22" s="205"/>
      <c r="AA22" s="220">
        <v>3</v>
      </c>
      <c r="AB22" s="219">
        <f>L22*AA22</f>
        <v>12000</v>
      </c>
      <c r="AC22" s="221">
        <f t="shared" si="36"/>
        <v>15000</v>
      </c>
      <c r="AD22" s="221">
        <f t="shared" si="17"/>
        <v>2754.6</v>
      </c>
      <c r="AE22" s="205"/>
      <c r="AF22" s="205"/>
      <c r="AG22" s="205"/>
      <c r="AH22" s="205"/>
      <c r="AI22" s="205"/>
      <c r="AJ22" s="205"/>
      <c r="AK22" s="219"/>
      <c r="AL22" s="219"/>
      <c r="AM22" s="225">
        <f t="shared" si="32"/>
        <v>-5754.6</v>
      </c>
      <c r="AN22" s="226">
        <f>ROUND(MAX((AM22)*{0.03;0.1;0.2;0.25;0.3;0.35;0.45}-{0;2520;16920;31920;52920;85920;181920},0),2)</f>
        <v>0</v>
      </c>
      <c r="AO22" s="237">
        <v>0</v>
      </c>
      <c r="AP22" s="238">
        <f t="shared" si="33"/>
        <v>0</v>
      </c>
      <c r="AQ22" s="239">
        <f t="shared" si="34"/>
        <v>3081.8</v>
      </c>
      <c r="AR22" s="240"/>
      <c r="AS22" s="239">
        <f t="shared" si="35"/>
        <v>3081.8</v>
      </c>
      <c r="AT22" s="239"/>
      <c r="AU22" s="239">
        <f t="shared" si="20"/>
        <v>3081.8</v>
      </c>
      <c r="AV22" s="239"/>
      <c r="AW22" s="239"/>
      <c r="AX22" s="239"/>
      <c r="AY22" s="239"/>
      <c r="AZ22" s="239"/>
      <c r="BA22" s="246" t="str">
        <f t="shared" si="21"/>
        <v>正确</v>
      </c>
      <c r="BB22" s="246" t="str">
        <f>IF(SUMPRODUCT(N(E$1:E$13=E22))&gt;1,"重复","不")</f>
        <v>不</v>
      </c>
      <c r="BC22" s="246" t="str">
        <f>IF(SUMPRODUCT(N(AX$1:AX$13=AX22))&gt;1,"重复","不")</f>
        <v>重复</v>
      </c>
    </row>
    <row r="23" s="153" customFormat="1" ht="18" customHeight="1" spans="1:55">
      <c r="A23" s="167">
        <v>21</v>
      </c>
      <c r="B23" s="168" t="s">
        <v>54</v>
      </c>
      <c r="C23" s="193" t="s">
        <v>95</v>
      </c>
      <c r="D23" s="168" t="s">
        <v>56</v>
      </c>
      <c r="E23" s="194" t="s">
        <v>96</v>
      </c>
      <c r="F23" s="170" t="str">
        <f t="shared" si="19"/>
        <v>男</v>
      </c>
      <c r="G23" s="171"/>
      <c r="H23" s="172"/>
      <c r="I23" s="172"/>
      <c r="J23" s="172"/>
      <c r="K23" s="172"/>
      <c r="L23" s="205">
        <f>VLOOKUP(C23:C42,'[1]21年02月份'!$E$10:$L$29,8,0)</f>
        <v>4000</v>
      </c>
      <c r="M23" s="207">
        <v>320</v>
      </c>
      <c r="N23" s="207">
        <v>110.2</v>
      </c>
      <c r="O23" s="207">
        <v>8</v>
      </c>
      <c r="P23" s="207">
        <v>480</v>
      </c>
      <c r="Q23" s="213"/>
      <c r="R23" s="205">
        <f t="shared" si="24"/>
        <v>918.2</v>
      </c>
      <c r="S23" s="205"/>
      <c r="T23" s="205"/>
      <c r="U23" s="205"/>
      <c r="V23" s="205"/>
      <c r="W23" s="205"/>
      <c r="X23" s="205"/>
      <c r="Y23" s="219"/>
      <c r="Z23" s="205"/>
      <c r="AA23" s="220">
        <v>3</v>
      </c>
      <c r="AB23" s="219">
        <f>L23*AA23</f>
        <v>12000</v>
      </c>
      <c r="AC23" s="221">
        <v>10000</v>
      </c>
      <c r="AD23" s="221">
        <f t="shared" si="17"/>
        <v>2754.6</v>
      </c>
      <c r="AE23" s="205"/>
      <c r="AF23" s="205"/>
      <c r="AG23" s="205"/>
      <c r="AH23" s="205"/>
      <c r="AI23" s="205"/>
      <c r="AJ23" s="205"/>
      <c r="AK23" s="219"/>
      <c r="AL23" s="219"/>
      <c r="AM23" s="225">
        <f t="shared" si="32"/>
        <v>-754.6</v>
      </c>
      <c r="AN23" s="226">
        <f>ROUND(MAX((AM23)*{0.03;0.1;0.2;0.25;0.3;0.35;0.45}-{0;2520;16920;31920;52920;85920;181920},0),2)</f>
        <v>0</v>
      </c>
      <c r="AO23" s="237">
        <v>0</v>
      </c>
      <c r="AP23" s="238">
        <f t="shared" si="33"/>
        <v>0</v>
      </c>
      <c r="AQ23" s="239">
        <f t="shared" si="34"/>
        <v>3081.8</v>
      </c>
      <c r="AR23" s="240"/>
      <c r="AS23" s="239">
        <f t="shared" si="35"/>
        <v>3081.8</v>
      </c>
      <c r="AT23" s="239"/>
      <c r="AU23" s="239">
        <f t="shared" si="20"/>
        <v>3081.8</v>
      </c>
      <c r="AV23" s="239"/>
      <c r="AW23" s="239"/>
      <c r="AX23" s="239"/>
      <c r="AY23" s="239"/>
      <c r="AZ23" s="239"/>
      <c r="BA23" s="246"/>
      <c r="BB23" s="246"/>
      <c r="BC23" s="246"/>
    </row>
    <row r="24" s="153" customFormat="1" ht="18" customHeight="1" spans="1:55">
      <c r="A24" s="167"/>
      <c r="B24" s="168"/>
      <c r="C24" s="184"/>
      <c r="D24" s="195"/>
      <c r="E24" s="183"/>
      <c r="F24" s="196"/>
      <c r="G24" s="171"/>
      <c r="H24" s="172"/>
      <c r="I24" s="172"/>
      <c r="J24" s="172"/>
      <c r="K24" s="172"/>
      <c r="L24" s="205"/>
      <c r="M24" s="206"/>
      <c r="N24" s="206"/>
      <c r="O24" s="206"/>
      <c r="P24" s="206"/>
      <c r="Q24" s="213"/>
      <c r="R24" s="205"/>
      <c r="S24" s="205"/>
      <c r="T24" s="205"/>
      <c r="U24" s="205"/>
      <c r="V24" s="205"/>
      <c r="W24" s="205"/>
      <c r="X24" s="205"/>
      <c r="Y24" s="219"/>
      <c r="Z24" s="205"/>
      <c r="AA24" s="220"/>
      <c r="AB24" s="219"/>
      <c r="AC24" s="221"/>
      <c r="AD24" s="221"/>
      <c r="AE24" s="205"/>
      <c r="AF24" s="205"/>
      <c r="AG24" s="205"/>
      <c r="AH24" s="205"/>
      <c r="AI24" s="205"/>
      <c r="AJ24" s="205"/>
      <c r="AK24" s="219"/>
      <c r="AL24" s="219"/>
      <c r="AM24" s="225"/>
      <c r="AN24" s="226"/>
      <c r="AO24" s="237"/>
      <c r="AP24" s="238"/>
      <c r="AQ24" s="239"/>
      <c r="AR24" s="240"/>
      <c r="AS24" s="239"/>
      <c r="AT24" s="239"/>
      <c r="AU24" s="239"/>
      <c r="AV24" s="239"/>
      <c r="AW24" s="239"/>
      <c r="AX24" s="239"/>
      <c r="AY24" s="239"/>
      <c r="AZ24" s="239"/>
      <c r="BA24" s="246"/>
      <c r="BB24" s="246"/>
      <c r="BC24" s="246"/>
    </row>
    <row r="25" s="60" customFormat="1" ht="18" customHeight="1" spans="1:55">
      <c r="A25" s="71"/>
      <c r="B25" s="120" t="s">
        <v>97</v>
      </c>
      <c r="C25" s="120"/>
      <c r="D25" s="121"/>
      <c r="E25" s="197"/>
      <c r="F25" s="80"/>
      <c r="G25" s="198"/>
      <c r="H25" s="80"/>
      <c r="I25" s="209"/>
      <c r="J25" s="209"/>
      <c r="K25" s="209"/>
      <c r="L25" s="122">
        <f>SUM(L4:L24)</f>
        <v>214832.536521739</v>
      </c>
      <c r="M25" s="210">
        <f t="shared" ref="M25:AU25" si="37">SUM(M4:M24)</f>
        <v>9440</v>
      </c>
      <c r="N25" s="210">
        <f t="shared" si="37"/>
        <v>2676.2</v>
      </c>
      <c r="O25" s="210">
        <f t="shared" si="37"/>
        <v>190</v>
      </c>
      <c r="P25" s="210">
        <f t="shared" si="37"/>
        <v>13680</v>
      </c>
      <c r="Q25" s="122">
        <f t="shared" si="37"/>
        <v>0</v>
      </c>
      <c r="R25" s="122">
        <f t="shared" si="37"/>
        <v>25986.2</v>
      </c>
      <c r="S25" s="122">
        <f t="shared" si="37"/>
        <v>6000</v>
      </c>
      <c r="T25" s="122">
        <f t="shared" si="37"/>
        <v>8000</v>
      </c>
      <c r="U25" s="122">
        <f t="shared" si="37"/>
        <v>2500</v>
      </c>
      <c r="V25" s="122">
        <f t="shared" si="37"/>
        <v>1500</v>
      </c>
      <c r="W25" s="122">
        <f t="shared" si="37"/>
        <v>800</v>
      </c>
      <c r="X25" s="122">
        <f t="shared" si="37"/>
        <v>0</v>
      </c>
      <c r="Y25" s="122">
        <f t="shared" si="37"/>
        <v>18800</v>
      </c>
      <c r="Z25" s="122">
        <f t="shared" si="37"/>
        <v>0</v>
      </c>
      <c r="AA25" s="122">
        <f t="shared" si="37"/>
        <v>60</v>
      </c>
      <c r="AB25" s="122">
        <f t="shared" si="37"/>
        <v>692468.846521739</v>
      </c>
      <c r="AC25" s="122">
        <f t="shared" si="37"/>
        <v>430000</v>
      </c>
      <c r="AD25" s="122">
        <f t="shared" si="37"/>
        <v>77958.6</v>
      </c>
      <c r="AE25" s="122">
        <f t="shared" si="37"/>
        <v>18000</v>
      </c>
      <c r="AF25" s="122">
        <f t="shared" si="37"/>
        <v>24000</v>
      </c>
      <c r="AG25" s="122">
        <f t="shared" si="37"/>
        <v>7500</v>
      </c>
      <c r="AH25" s="122">
        <f t="shared" si="37"/>
        <v>4500</v>
      </c>
      <c r="AI25" s="122">
        <f t="shared" si="37"/>
        <v>2400</v>
      </c>
      <c r="AJ25" s="122">
        <f t="shared" si="37"/>
        <v>0</v>
      </c>
      <c r="AK25" s="122">
        <f t="shared" si="37"/>
        <v>56400</v>
      </c>
      <c r="AL25" s="122">
        <f t="shared" si="37"/>
        <v>0</v>
      </c>
      <c r="AM25" s="122">
        <f t="shared" si="37"/>
        <v>128110.25</v>
      </c>
      <c r="AN25" s="122">
        <f t="shared" si="37"/>
        <v>8575.83</v>
      </c>
      <c r="AO25" s="122">
        <f t="shared" si="37"/>
        <v>5915.6</v>
      </c>
      <c r="AP25" s="122">
        <f t="shared" si="37"/>
        <v>2660.23</v>
      </c>
      <c r="AQ25" s="122">
        <f t="shared" si="37"/>
        <v>186186.11</v>
      </c>
      <c r="AR25" s="122">
        <f t="shared" si="37"/>
        <v>0</v>
      </c>
      <c r="AS25" s="122">
        <f t="shared" si="37"/>
        <v>186186.11</v>
      </c>
      <c r="AT25" s="122">
        <f t="shared" si="37"/>
        <v>0</v>
      </c>
      <c r="AU25" s="122">
        <f t="shared" si="37"/>
        <v>188846.34</v>
      </c>
      <c r="AV25" s="134"/>
      <c r="AW25" s="134"/>
      <c r="AX25" s="134"/>
      <c r="AY25" s="134"/>
      <c r="AZ25" s="134"/>
      <c r="BA25" s="80"/>
      <c r="BB25" s="80"/>
      <c r="BC25" s="110"/>
    </row>
    <row r="28" spans="39:39">
      <c r="AM28" s="230"/>
    </row>
    <row r="29" ht="18.75" customHeight="1" spans="2:39">
      <c r="B29" s="199" t="s">
        <v>32</v>
      </c>
      <c r="C29" s="199" t="s">
        <v>98</v>
      </c>
      <c r="D29" s="199" t="s">
        <v>33</v>
      </c>
      <c r="E29" s="199" t="s">
        <v>99</v>
      </c>
      <c r="AM29" s="152"/>
    </row>
    <row r="30" ht="18.75" customHeight="1" spans="2:5">
      <c r="B30" s="200">
        <f>AS25</f>
        <v>186186.11</v>
      </c>
      <c r="C30" s="201">
        <f>AP25</f>
        <v>2660.23</v>
      </c>
      <c r="D30" s="200">
        <f>AT25</f>
        <v>0</v>
      </c>
      <c r="E30" s="200">
        <f>B30+C30+D30</f>
        <v>188846.34</v>
      </c>
    </row>
    <row r="31" spans="2:5">
      <c r="B31" s="202"/>
      <c r="C31" s="202"/>
      <c r="D31" s="202"/>
      <c r="E31" s="202"/>
    </row>
    <row r="32" s="11" customFormat="1" spans="1:44">
      <c r="A32" s="32" t="s">
        <v>100</v>
      </c>
      <c r="B32" s="33" t="s">
        <v>101</v>
      </c>
      <c r="C32" s="31"/>
      <c r="D32" s="31"/>
      <c r="E32" s="31"/>
      <c r="G32" s="12"/>
      <c r="M32" s="148"/>
      <c r="AA32" s="224"/>
      <c r="AO32" s="243"/>
      <c r="AP32" s="244"/>
      <c r="AR32" s="245"/>
    </row>
    <row r="33" s="11" customFormat="1" spans="1:44">
      <c r="A33" s="34"/>
      <c r="B33" s="35" t="s">
        <v>102</v>
      </c>
      <c r="C33" s="31"/>
      <c r="D33" s="31"/>
      <c r="E33" s="31"/>
      <c r="G33" s="12"/>
      <c r="M33" s="148"/>
      <c r="AA33" s="224"/>
      <c r="AO33" s="243"/>
      <c r="AP33" s="244"/>
      <c r="AR33" s="245"/>
    </row>
    <row r="34" s="11" customFormat="1" spans="1:44">
      <c r="A34" s="33"/>
      <c r="B34" s="35" t="s">
        <v>103</v>
      </c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150"/>
      <c r="N34" s="38"/>
      <c r="O34" s="38"/>
      <c r="P34" s="38"/>
      <c r="Q34" s="36"/>
      <c r="AA34" s="224"/>
      <c r="AO34" s="243"/>
      <c r="AP34" s="244"/>
      <c r="AR34" s="245"/>
    </row>
    <row r="35" s="11" customFormat="1" customHeight="1" spans="1:44">
      <c r="A35" s="35"/>
      <c r="B35" s="35" t="s">
        <v>104</v>
      </c>
      <c r="C35" s="37"/>
      <c r="D35" s="37"/>
      <c r="E35" s="37"/>
      <c r="F35" s="37"/>
      <c r="G35" s="37"/>
      <c r="H35" s="37"/>
      <c r="I35" s="38"/>
      <c r="J35" s="38"/>
      <c r="K35" s="38"/>
      <c r="L35" s="38"/>
      <c r="M35" s="150"/>
      <c r="N35" s="38"/>
      <c r="O35" s="38"/>
      <c r="P35" s="38"/>
      <c r="Q35" s="38"/>
      <c r="AA35" s="224"/>
      <c r="AO35" s="243"/>
      <c r="AP35" s="244"/>
      <c r="AR35" s="245"/>
    </row>
    <row r="36" s="11" customFormat="1" customHeight="1" spans="1:44">
      <c r="A36" s="35"/>
      <c r="B36" s="35" t="s">
        <v>105</v>
      </c>
      <c r="C36" s="37"/>
      <c r="D36" s="37"/>
      <c r="E36" s="37"/>
      <c r="F36" s="37"/>
      <c r="G36" s="37"/>
      <c r="H36" s="37"/>
      <c r="I36" s="37"/>
      <c r="J36" s="37"/>
      <c r="K36" s="37"/>
      <c r="L36" s="38"/>
      <c r="M36" s="150"/>
      <c r="N36" s="38"/>
      <c r="O36" s="38"/>
      <c r="P36" s="38"/>
      <c r="Q36" s="38"/>
      <c r="AA36" s="224"/>
      <c r="AO36" s="243"/>
      <c r="AP36" s="244"/>
      <c r="AR36" s="245"/>
    </row>
    <row r="37" s="11" customFormat="1" customHeight="1" spans="1:44">
      <c r="A37" s="35"/>
      <c r="B37" s="35" t="s">
        <v>106</v>
      </c>
      <c r="C37" s="37"/>
      <c r="D37" s="37"/>
      <c r="E37" s="37"/>
      <c r="F37" s="37"/>
      <c r="G37" s="37"/>
      <c r="H37" s="37"/>
      <c r="I37" s="38"/>
      <c r="J37" s="38"/>
      <c r="K37" s="38"/>
      <c r="L37" s="38"/>
      <c r="M37" s="150"/>
      <c r="N37" s="38"/>
      <c r="O37" s="38"/>
      <c r="P37" s="38"/>
      <c r="Q37" s="38"/>
      <c r="AA37" s="224"/>
      <c r="AO37" s="243"/>
      <c r="AP37" s="244"/>
      <c r="AR37" s="245"/>
    </row>
    <row r="39" ht="11.25" customHeight="1" spans="2:2">
      <c r="B39" s="124" t="s">
        <v>107</v>
      </c>
    </row>
    <row r="40" spans="2:2">
      <c r="B40" s="32" t="s">
        <v>108</v>
      </c>
    </row>
    <row r="41" spans="2:2">
      <c r="B41" s="32" t="s">
        <v>109</v>
      </c>
    </row>
  </sheetData>
  <autoFilter ref="A3:BC25">
    <extLst/>
  </autoFilter>
  <mergeCells count="42">
    <mergeCell ref="M1:Q1"/>
    <mergeCell ref="M2:Q2"/>
    <mergeCell ref="S2:X2"/>
    <mergeCell ref="AE2:AJ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R2:R3"/>
    <mergeCell ref="Y2:Y3"/>
    <mergeCell ref="Z2:Z3"/>
    <mergeCell ref="AA2:AA3"/>
    <mergeCell ref="AB2:AB3"/>
    <mergeCell ref="AC2:AC3"/>
    <mergeCell ref="AD2:AD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  <mergeCell ref="AU2:AU3"/>
    <mergeCell ref="AV2:AV3"/>
    <mergeCell ref="AW2:AW3"/>
    <mergeCell ref="AX2:AX3"/>
    <mergeCell ref="AY2:AY3"/>
    <mergeCell ref="AZ2:AZ3"/>
    <mergeCell ref="BA2:BA3"/>
    <mergeCell ref="BB2:BB3"/>
    <mergeCell ref="BC2:BC3"/>
  </mergeCells>
  <conditionalFormatting sqref="B37">
    <cfRule type="duplicateValues" dxfId="0" priority="2"/>
  </conditionalFormatting>
  <conditionalFormatting sqref="B32:B36">
    <cfRule type="duplicateValues" dxfId="0" priority="3"/>
  </conditionalFormatting>
  <conditionalFormatting sqref="B40:B41">
    <cfRule type="duplicateValues" dxfId="0" priority="4"/>
  </conditionalFormatting>
  <conditionalFormatting sqref="C29:C31">
    <cfRule type="duplicateValues" dxfId="0" priority="5"/>
    <cfRule type="expression" dxfId="1" priority="6">
      <formula>AND(COUNTIF($B$25:$B$65461,C29)+COUNTIF($B$1:$B$3,C29)&gt;1,NOT(ISBLANK(C29)))</formula>
    </cfRule>
    <cfRule type="expression" dxfId="1" priority="7">
      <formula>AND(COUNTIF($B$36:$B$65412,C29)+COUNTIF($B$1:$B$35,C29)&gt;1,NOT(ISBLANK(C29)))</formula>
    </cfRule>
    <cfRule type="expression" dxfId="1" priority="8">
      <formula>AND(COUNTIF($B$25:$B$65450,C29)+COUNTIF($B$1:$B$3,C29)&gt;1,NOT(ISBLANK(C29)))</formula>
    </cfRule>
  </conditionalFormatting>
  <pageMargins left="0.235416666666667" right="0.235416666666667" top="0.747916666666667" bottom="0.747916666666667" header="0.511805555555555" footer="0.511805555555555"/>
  <pageSetup paperSize="9" firstPageNumber="0" fitToWidth="2" orientation="landscape" useFirstPageNumber="1" horizontalDpi="300" verticalDpi="300"/>
  <headerFooter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Y37"/>
  <sheetViews>
    <sheetView topLeftCell="A4" workbookViewId="0">
      <selection activeCell="L5" sqref="L5"/>
    </sheetView>
  </sheetViews>
  <sheetFormatPr defaultColWidth="9" defaultRowHeight="13.5"/>
  <cols>
    <col min="1" max="1" width="4.5" style="60" customWidth="1"/>
    <col min="2" max="2" width="16" style="60" customWidth="1"/>
    <col min="3" max="3" width="12" style="60" customWidth="1"/>
    <col min="4" max="4" width="12" style="61" customWidth="1"/>
    <col min="5" max="5" width="18.0083333333333" style="60" customWidth="1"/>
    <col min="6" max="6" width="7.5" style="60" customWidth="1"/>
    <col min="7" max="7" width="12.7583333333333" style="60" customWidth="1"/>
    <col min="8" max="8" width="10.3833333333333" style="60" customWidth="1"/>
    <col min="9" max="10" width="12.5" style="60" customWidth="1"/>
    <col min="11" max="11" width="6.25833333333333" style="60" customWidth="1"/>
    <col min="12" max="12" width="12.2583333333333" style="60" customWidth="1"/>
    <col min="13" max="13" width="10.3833333333333" style="60" customWidth="1"/>
    <col min="14" max="14" width="9" customWidth="1"/>
    <col min="15" max="15" width="10.3833333333333" style="60" customWidth="1"/>
    <col min="16" max="16" width="7.75833333333333" style="60" customWidth="1"/>
    <col min="17" max="17" width="10.3833333333333" style="60" customWidth="1"/>
    <col min="18" max="19" width="9" style="60" customWidth="1"/>
    <col min="20" max="20" width="23.25" style="63" customWidth="1"/>
    <col min="21" max="21" width="12.2583333333333" style="60" customWidth="1"/>
    <col min="22" max="22" width="6.75833333333333" style="60" customWidth="1"/>
    <col min="23" max="23" width="11.3833333333333" style="60" customWidth="1"/>
    <col min="24" max="24" width="8.61666666666667" style="60" customWidth="1"/>
    <col min="25" max="1025" width="9" style="60" customWidth="1"/>
  </cols>
  <sheetData>
    <row r="1" s="57" customFormat="1" ht="32.25" customHeight="1" spans="1:24">
      <c r="A1" s="13" t="s">
        <v>0</v>
      </c>
      <c r="B1" s="64"/>
      <c r="C1" s="112"/>
      <c r="D1" s="66"/>
      <c r="E1" s="60"/>
      <c r="F1" s="60"/>
      <c r="H1" s="84"/>
      <c r="I1" s="84"/>
      <c r="J1" s="84"/>
      <c r="K1" s="84"/>
      <c r="L1" s="84"/>
      <c r="M1" s="84"/>
      <c r="N1"/>
      <c r="O1" s="84"/>
      <c r="P1" s="84"/>
      <c r="Q1" s="85"/>
      <c r="R1" s="60"/>
      <c r="S1" s="60"/>
      <c r="T1" s="63"/>
      <c r="U1" s="60"/>
      <c r="V1" s="60"/>
      <c r="W1" s="60"/>
      <c r="X1" s="60"/>
    </row>
    <row r="2" s="58" customFormat="1" ht="21.75" customHeight="1" spans="1:25">
      <c r="A2" s="67" t="s">
        <v>2</v>
      </c>
      <c r="B2" s="113" t="s">
        <v>110</v>
      </c>
      <c r="C2" s="113" t="s">
        <v>4</v>
      </c>
      <c r="D2" s="113" t="s">
        <v>5</v>
      </c>
      <c r="E2" s="69" t="s">
        <v>6</v>
      </c>
      <c r="F2" s="70" t="s">
        <v>7</v>
      </c>
      <c r="G2" s="69" t="s">
        <v>8</v>
      </c>
      <c r="H2" s="113" t="s">
        <v>132</v>
      </c>
      <c r="I2" s="90" t="s">
        <v>112</v>
      </c>
      <c r="J2" s="90" t="s">
        <v>113</v>
      </c>
      <c r="K2" s="90" t="s">
        <v>114</v>
      </c>
      <c r="L2" s="90" t="s">
        <v>116</v>
      </c>
      <c r="M2" s="91" t="s">
        <v>30</v>
      </c>
      <c r="N2" s="130" t="s">
        <v>31</v>
      </c>
      <c r="O2" s="91" t="s">
        <v>32</v>
      </c>
      <c r="P2" s="68" t="s">
        <v>33</v>
      </c>
      <c r="Q2" s="91" t="s">
        <v>34</v>
      </c>
      <c r="R2" s="69" t="s">
        <v>35</v>
      </c>
      <c r="S2" s="69" t="s">
        <v>36</v>
      </c>
      <c r="T2" s="102" t="s">
        <v>37</v>
      </c>
      <c r="U2" s="69" t="s">
        <v>38</v>
      </c>
      <c r="V2" s="69" t="s">
        <v>39</v>
      </c>
      <c r="W2" s="70" t="s">
        <v>40</v>
      </c>
      <c r="X2" s="70" t="s">
        <v>41</v>
      </c>
      <c r="Y2" s="70" t="s">
        <v>41</v>
      </c>
    </row>
    <row r="3" s="58" customFormat="1" ht="21.75" customHeight="1" spans="1:25">
      <c r="A3" s="67"/>
      <c r="B3" s="113"/>
      <c r="C3" s="113"/>
      <c r="D3" s="113"/>
      <c r="E3" s="69"/>
      <c r="F3" s="70"/>
      <c r="G3" s="69"/>
      <c r="H3" s="113"/>
      <c r="I3" s="90"/>
      <c r="J3" s="90"/>
      <c r="K3" s="90"/>
      <c r="L3" s="90"/>
      <c r="M3" s="91"/>
      <c r="N3" s="130"/>
      <c r="O3" s="91"/>
      <c r="P3" s="68"/>
      <c r="Q3" s="91"/>
      <c r="R3" s="69"/>
      <c r="S3" s="69"/>
      <c r="T3" s="102"/>
      <c r="U3" s="69"/>
      <c r="V3" s="69"/>
      <c r="W3" s="70"/>
      <c r="X3" s="70"/>
      <c r="Y3" s="70"/>
    </row>
    <row r="4" s="57" customFormat="1" spans="1:25">
      <c r="A4" s="114">
        <v>1</v>
      </c>
      <c r="B4" s="72" t="s">
        <v>117</v>
      </c>
      <c r="C4" s="72" t="s">
        <v>118</v>
      </c>
      <c r="D4" s="72" t="s">
        <v>56</v>
      </c>
      <c r="E4" s="74" t="s">
        <v>119</v>
      </c>
      <c r="F4" s="115" t="str">
        <f t="shared" ref="F4:F14" si="0">IF(MOD(MID(E4,17,1),2)=1,"男","女")</f>
        <v>男</v>
      </c>
      <c r="G4" s="116">
        <v>13869452862</v>
      </c>
      <c r="H4" s="117">
        <v>300</v>
      </c>
      <c r="I4" s="131">
        <f t="shared" ref="I4:I14" si="1">ROUND(IF(H4&lt;=4000,800,H4*20%),2)</f>
        <v>800</v>
      </c>
      <c r="J4" s="131">
        <f t="shared" ref="J4:J14" si="2">ROUND((IF((H4-I4)&gt;0,H4-I4,0)*0.7),2)</f>
        <v>0</v>
      </c>
      <c r="K4" s="132">
        <v>0.2</v>
      </c>
      <c r="L4" s="133">
        <f t="shared" ref="L4:L14" si="3">J4*K4</f>
        <v>0</v>
      </c>
      <c r="M4" s="134">
        <f t="shared" ref="M4:M14" si="4">H4-L4</f>
        <v>300</v>
      </c>
      <c r="N4" s="53"/>
      <c r="O4" s="134">
        <f t="shared" ref="O4:O14" si="5">M4+N4</f>
        <v>300</v>
      </c>
      <c r="P4" s="135">
        <v>50</v>
      </c>
      <c r="Q4" s="134">
        <f t="shared" ref="Q4:Q14" si="6">L4+O4+P4</f>
        <v>350</v>
      </c>
      <c r="R4" s="104"/>
      <c r="S4" s="104"/>
      <c r="T4" s="119"/>
      <c r="U4" s="106"/>
      <c r="V4" s="104"/>
      <c r="W4" s="109" t="str">
        <f t="shared" ref="W4:W14" si="7"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X4" s="136" t="str">
        <f>IF(SUMPRODUCT(N(E$1:E$14=E4))&gt;1,"重复","不")</f>
        <v>不</v>
      </c>
      <c r="Y4" s="56" t="str">
        <f>IF(SUMPRODUCT(N(T$2:T$13=T4))&gt;1,"重复","不")</f>
        <v>重复</v>
      </c>
    </row>
    <row r="5" s="57" customFormat="1" spans="1:25">
      <c r="A5" s="114">
        <v>2</v>
      </c>
      <c r="B5" s="72" t="s">
        <v>117</v>
      </c>
      <c r="C5" s="72" t="s">
        <v>120</v>
      </c>
      <c r="D5" s="72" t="s">
        <v>121</v>
      </c>
      <c r="E5" s="74" t="s">
        <v>122</v>
      </c>
      <c r="F5" s="115" t="str">
        <f t="shared" si="0"/>
        <v>男</v>
      </c>
      <c r="G5" s="116">
        <v>12345678910</v>
      </c>
      <c r="H5" s="117">
        <v>800</v>
      </c>
      <c r="I5" s="131">
        <f t="shared" si="1"/>
        <v>800</v>
      </c>
      <c r="J5" s="131">
        <f t="shared" si="2"/>
        <v>0</v>
      </c>
      <c r="K5" s="132">
        <v>0.2</v>
      </c>
      <c r="L5" s="133">
        <f t="shared" si="3"/>
        <v>0</v>
      </c>
      <c r="M5" s="134">
        <f t="shared" si="4"/>
        <v>800</v>
      </c>
      <c r="N5" s="53"/>
      <c r="O5" s="134">
        <f t="shared" si="5"/>
        <v>800</v>
      </c>
      <c r="P5" s="135"/>
      <c r="Q5" s="134">
        <f t="shared" si="6"/>
        <v>800</v>
      </c>
      <c r="R5" s="104"/>
      <c r="S5" s="104"/>
      <c r="T5" s="119"/>
      <c r="U5" s="106"/>
      <c r="V5" s="104"/>
      <c r="W5" s="109" t="str">
        <f t="shared" si="7"/>
        <v>正确</v>
      </c>
      <c r="X5" s="136" t="str">
        <f>IF(SUMPRODUCT(N(E$1:E$14=E5))&gt;1,"重复","不")</f>
        <v>不</v>
      </c>
      <c r="Y5" s="56" t="str">
        <f>IF(SUMPRODUCT(N(T$2:T$13=T5))&gt;1,"重复","不")</f>
        <v>重复</v>
      </c>
    </row>
    <row r="6" s="57" customFormat="1" spans="1:25">
      <c r="A6" s="114">
        <v>3</v>
      </c>
      <c r="B6" s="72"/>
      <c r="C6" s="72"/>
      <c r="D6" s="72"/>
      <c r="E6" s="74"/>
      <c r="F6" s="115" t="e">
        <f t="shared" si="0"/>
        <v>#VALUE!</v>
      </c>
      <c r="G6" s="116"/>
      <c r="H6" s="117">
        <v>3000</v>
      </c>
      <c r="I6" s="131">
        <f t="shared" si="1"/>
        <v>800</v>
      </c>
      <c r="J6" s="131">
        <f t="shared" si="2"/>
        <v>1540</v>
      </c>
      <c r="K6" s="132">
        <v>0.2</v>
      </c>
      <c r="L6" s="133">
        <f t="shared" si="3"/>
        <v>308</v>
      </c>
      <c r="M6" s="134">
        <f t="shared" si="4"/>
        <v>2692</v>
      </c>
      <c r="N6" s="53"/>
      <c r="O6" s="134">
        <f t="shared" si="5"/>
        <v>2692</v>
      </c>
      <c r="P6" s="135"/>
      <c r="Q6" s="134">
        <f t="shared" si="6"/>
        <v>3000</v>
      </c>
      <c r="R6" s="104"/>
      <c r="S6" s="104"/>
      <c r="T6" s="119"/>
      <c r="U6" s="106"/>
      <c r="V6" s="104"/>
      <c r="W6" s="109" t="str">
        <f t="shared" si="7"/>
        <v>未填写身份证号码</v>
      </c>
      <c r="X6" s="136" t="str">
        <f>IF(SUMPRODUCT(N(E$1:E$14=E6))&gt;1,"重复","不")</f>
        <v>重复</v>
      </c>
      <c r="Y6" s="56" t="str">
        <f>IF(SUMPRODUCT(N(T$2:T$13=T6))&gt;1,"重复","不")</f>
        <v>重复</v>
      </c>
    </row>
    <row r="7" s="57" customFormat="1" spans="1:25">
      <c r="A7" s="114">
        <v>4</v>
      </c>
      <c r="B7" s="72"/>
      <c r="C7" s="72"/>
      <c r="D7" s="72"/>
      <c r="E7" s="74"/>
      <c r="F7" s="115" t="e">
        <f t="shared" si="0"/>
        <v>#VALUE!</v>
      </c>
      <c r="G7" s="116"/>
      <c r="H7" s="117">
        <v>4000</v>
      </c>
      <c r="I7" s="131">
        <f t="shared" si="1"/>
        <v>800</v>
      </c>
      <c r="J7" s="131">
        <f t="shared" si="2"/>
        <v>2240</v>
      </c>
      <c r="K7" s="132">
        <v>0.2</v>
      </c>
      <c r="L7" s="133">
        <f t="shared" si="3"/>
        <v>448</v>
      </c>
      <c r="M7" s="134">
        <f t="shared" si="4"/>
        <v>3552</v>
      </c>
      <c r="N7" s="53"/>
      <c r="O7" s="134">
        <f t="shared" si="5"/>
        <v>3552</v>
      </c>
      <c r="P7" s="135"/>
      <c r="Q7" s="134">
        <f t="shared" si="6"/>
        <v>4000</v>
      </c>
      <c r="R7" s="104"/>
      <c r="S7" s="104"/>
      <c r="T7" s="119"/>
      <c r="U7" s="106"/>
      <c r="V7" s="104"/>
      <c r="W7" s="109" t="str">
        <f t="shared" si="7"/>
        <v>未填写身份证号码</v>
      </c>
      <c r="X7" s="136" t="str">
        <f>IF(SUMPRODUCT(N(E$1:E$14=E7))&gt;1,"重复","不")</f>
        <v>重复</v>
      </c>
      <c r="Y7" s="56" t="str">
        <f>IF(SUMPRODUCT(N(T$2:T$13=T7))&gt;1,"重复","不")</f>
        <v>重复</v>
      </c>
    </row>
    <row r="8" s="57" customFormat="1" spans="1:25">
      <c r="A8" s="114">
        <v>5</v>
      </c>
      <c r="B8" s="72"/>
      <c r="C8" s="72"/>
      <c r="D8" s="72"/>
      <c r="E8" s="74"/>
      <c r="F8" s="115" t="e">
        <f t="shared" si="0"/>
        <v>#VALUE!</v>
      </c>
      <c r="G8" s="116"/>
      <c r="H8" s="117">
        <v>5000</v>
      </c>
      <c r="I8" s="131">
        <f t="shared" si="1"/>
        <v>1000</v>
      </c>
      <c r="J8" s="131">
        <f t="shared" si="2"/>
        <v>2800</v>
      </c>
      <c r="K8" s="132">
        <v>0.2</v>
      </c>
      <c r="L8" s="133">
        <f t="shared" si="3"/>
        <v>560</v>
      </c>
      <c r="M8" s="134">
        <f t="shared" si="4"/>
        <v>4440</v>
      </c>
      <c r="N8" s="53"/>
      <c r="O8" s="134">
        <f t="shared" si="5"/>
        <v>4440</v>
      </c>
      <c r="P8" s="135"/>
      <c r="Q8" s="134">
        <f t="shared" si="6"/>
        <v>5000</v>
      </c>
      <c r="R8" s="104"/>
      <c r="S8" s="104"/>
      <c r="T8" s="119"/>
      <c r="U8" s="106"/>
      <c r="V8" s="104"/>
      <c r="W8" s="109" t="str">
        <f t="shared" si="7"/>
        <v>未填写身份证号码</v>
      </c>
      <c r="X8" s="136" t="str">
        <f>IF(SUMPRODUCT(N(E$1:E$14=E8))&gt;1,"重复","不")</f>
        <v>重复</v>
      </c>
      <c r="Y8" s="56" t="str">
        <f>IF(SUMPRODUCT(N(T$2:T$13=T8))&gt;1,"重复","不")</f>
        <v>重复</v>
      </c>
    </row>
    <row r="9" s="57" customFormat="1" spans="1:25">
      <c r="A9" s="114">
        <v>6</v>
      </c>
      <c r="B9" s="72"/>
      <c r="C9" s="72"/>
      <c r="D9" s="72"/>
      <c r="E9" s="74"/>
      <c r="F9" s="115" t="e">
        <f t="shared" si="0"/>
        <v>#VALUE!</v>
      </c>
      <c r="G9" s="116"/>
      <c r="H9" s="117">
        <v>6000</v>
      </c>
      <c r="I9" s="131">
        <f t="shared" si="1"/>
        <v>1200</v>
      </c>
      <c r="J9" s="131">
        <f t="shared" si="2"/>
        <v>3360</v>
      </c>
      <c r="K9" s="132">
        <v>0.2</v>
      </c>
      <c r="L9" s="133">
        <f t="shared" si="3"/>
        <v>672</v>
      </c>
      <c r="M9" s="134">
        <f t="shared" si="4"/>
        <v>5328</v>
      </c>
      <c r="N9" s="53"/>
      <c r="O9" s="134">
        <f t="shared" si="5"/>
        <v>5328</v>
      </c>
      <c r="P9" s="135"/>
      <c r="Q9" s="134">
        <f t="shared" si="6"/>
        <v>6000</v>
      </c>
      <c r="R9" s="104"/>
      <c r="S9" s="104"/>
      <c r="T9" s="119"/>
      <c r="U9" s="106"/>
      <c r="V9" s="104"/>
      <c r="W9" s="109" t="str">
        <f t="shared" si="7"/>
        <v>未填写身份证号码</v>
      </c>
      <c r="X9" s="136" t="str">
        <f>IF(SUMPRODUCT(N(E$1:E$14=E9))&gt;1,"重复","不")</f>
        <v>重复</v>
      </c>
      <c r="Y9" s="56" t="str">
        <f>IF(SUMPRODUCT(N(T$2:T$13=T9))&gt;1,"重复","不")</f>
        <v>重复</v>
      </c>
    </row>
    <row r="10" s="57" customFormat="1" spans="1:25">
      <c r="A10" s="114">
        <v>7</v>
      </c>
      <c r="B10" s="72"/>
      <c r="C10" s="72"/>
      <c r="D10" s="72"/>
      <c r="E10" s="74"/>
      <c r="F10" s="115" t="e">
        <f t="shared" si="0"/>
        <v>#VALUE!</v>
      </c>
      <c r="G10" s="116"/>
      <c r="H10" s="117">
        <v>7000</v>
      </c>
      <c r="I10" s="131">
        <f t="shared" si="1"/>
        <v>1400</v>
      </c>
      <c r="J10" s="131">
        <f t="shared" si="2"/>
        <v>3920</v>
      </c>
      <c r="K10" s="132">
        <v>0.2</v>
      </c>
      <c r="L10" s="133">
        <f t="shared" si="3"/>
        <v>784</v>
      </c>
      <c r="M10" s="134">
        <f t="shared" si="4"/>
        <v>6216</v>
      </c>
      <c r="N10" s="53"/>
      <c r="O10" s="134">
        <f t="shared" si="5"/>
        <v>6216</v>
      </c>
      <c r="P10" s="135"/>
      <c r="Q10" s="134">
        <f t="shared" si="6"/>
        <v>7000</v>
      </c>
      <c r="R10" s="104"/>
      <c r="S10" s="104"/>
      <c r="T10" s="119"/>
      <c r="U10" s="106"/>
      <c r="V10" s="104"/>
      <c r="W10" s="109" t="str">
        <f t="shared" si="7"/>
        <v>未填写身份证号码</v>
      </c>
      <c r="X10" s="136" t="str">
        <f>IF(SUMPRODUCT(N(E$1:E$14=E10))&gt;1,"重复","不")</f>
        <v>重复</v>
      </c>
      <c r="Y10" s="56" t="str">
        <f>IF(SUMPRODUCT(N(T$2:T$13=T10))&gt;1,"重复","不")</f>
        <v>重复</v>
      </c>
    </row>
    <row r="11" s="57" customFormat="1" spans="1:25">
      <c r="A11" s="114">
        <v>8</v>
      </c>
      <c r="B11" s="72"/>
      <c r="C11" s="72"/>
      <c r="D11" s="72"/>
      <c r="E11" s="74"/>
      <c r="F11" s="115" t="e">
        <f t="shared" si="0"/>
        <v>#VALUE!</v>
      </c>
      <c r="G11" s="116"/>
      <c r="H11" s="117">
        <v>8000</v>
      </c>
      <c r="I11" s="131">
        <f t="shared" si="1"/>
        <v>1600</v>
      </c>
      <c r="J11" s="131">
        <f t="shared" si="2"/>
        <v>4480</v>
      </c>
      <c r="K11" s="132">
        <v>0.2</v>
      </c>
      <c r="L11" s="133">
        <f t="shared" si="3"/>
        <v>896</v>
      </c>
      <c r="M11" s="134">
        <f t="shared" si="4"/>
        <v>7104</v>
      </c>
      <c r="N11" s="53"/>
      <c r="O11" s="134">
        <f t="shared" si="5"/>
        <v>7104</v>
      </c>
      <c r="P11" s="135"/>
      <c r="Q11" s="134">
        <f t="shared" si="6"/>
        <v>8000</v>
      </c>
      <c r="R11" s="104"/>
      <c r="S11" s="104"/>
      <c r="T11" s="119"/>
      <c r="U11" s="106"/>
      <c r="V11" s="104"/>
      <c r="W11" s="109" t="str">
        <f t="shared" si="7"/>
        <v>未填写身份证号码</v>
      </c>
      <c r="X11" s="136" t="str">
        <f>IF(SUMPRODUCT(N(E$1:E$14=E11))&gt;1,"重复","不")</f>
        <v>重复</v>
      </c>
      <c r="Y11" s="56" t="str">
        <f>IF(SUMPRODUCT(N(T$2:T$13=T11))&gt;1,"重复","不")</f>
        <v>重复</v>
      </c>
    </row>
    <row r="12" s="57" customFormat="1" spans="1:25">
      <c r="A12" s="114">
        <v>9</v>
      </c>
      <c r="B12" s="72"/>
      <c r="C12" s="106"/>
      <c r="D12" s="72"/>
      <c r="E12" s="74"/>
      <c r="F12" s="115" t="e">
        <f t="shared" si="0"/>
        <v>#VALUE!</v>
      </c>
      <c r="G12" s="116"/>
      <c r="H12" s="117">
        <v>9000</v>
      </c>
      <c r="I12" s="131">
        <f t="shared" si="1"/>
        <v>1800</v>
      </c>
      <c r="J12" s="131">
        <f t="shared" si="2"/>
        <v>5040</v>
      </c>
      <c r="K12" s="132">
        <v>0.2</v>
      </c>
      <c r="L12" s="133">
        <f t="shared" si="3"/>
        <v>1008</v>
      </c>
      <c r="M12" s="134">
        <f t="shared" si="4"/>
        <v>7992</v>
      </c>
      <c r="N12" s="53"/>
      <c r="O12" s="134">
        <f t="shared" si="5"/>
        <v>7992</v>
      </c>
      <c r="P12" s="135"/>
      <c r="Q12" s="134">
        <f t="shared" si="6"/>
        <v>9000</v>
      </c>
      <c r="R12" s="104"/>
      <c r="S12" s="104"/>
      <c r="T12" s="119"/>
      <c r="U12" s="106"/>
      <c r="V12" s="104"/>
      <c r="W12" s="109" t="str">
        <f t="shared" si="7"/>
        <v>未填写身份证号码</v>
      </c>
      <c r="X12" s="136" t="str">
        <f>IF(SUMPRODUCT(N(E$1:E$14=E12))&gt;1,"重复","不")</f>
        <v>重复</v>
      </c>
      <c r="Y12" s="56" t="str">
        <f>IF(SUMPRODUCT(N(T$2:T$13=T12))&gt;1,"重复","不")</f>
        <v>重复</v>
      </c>
    </row>
    <row r="13" s="57" customFormat="1" spans="1:25">
      <c r="A13" s="114">
        <v>10</v>
      </c>
      <c r="B13" s="72"/>
      <c r="C13" s="106"/>
      <c r="D13" s="72"/>
      <c r="E13" s="74"/>
      <c r="F13" s="115" t="e">
        <f t="shared" si="0"/>
        <v>#VALUE!</v>
      </c>
      <c r="G13" s="116"/>
      <c r="H13" s="117">
        <v>10000</v>
      </c>
      <c r="I13" s="131">
        <f t="shared" si="1"/>
        <v>2000</v>
      </c>
      <c r="J13" s="131">
        <f t="shared" si="2"/>
        <v>5600</v>
      </c>
      <c r="K13" s="132">
        <v>0.2</v>
      </c>
      <c r="L13" s="133">
        <f t="shared" si="3"/>
        <v>1120</v>
      </c>
      <c r="M13" s="134">
        <f t="shared" si="4"/>
        <v>8880</v>
      </c>
      <c r="N13" s="53"/>
      <c r="O13" s="134">
        <f t="shared" si="5"/>
        <v>8880</v>
      </c>
      <c r="P13" s="135"/>
      <c r="Q13" s="134">
        <f t="shared" si="6"/>
        <v>10000</v>
      </c>
      <c r="R13" s="104"/>
      <c r="S13" s="104"/>
      <c r="T13" s="119"/>
      <c r="U13" s="106"/>
      <c r="V13" s="104"/>
      <c r="W13" s="109" t="str">
        <f t="shared" si="7"/>
        <v>未填写身份证号码</v>
      </c>
      <c r="X13" s="136" t="str">
        <f>IF(SUMPRODUCT(N(E$1:E$14=E13))&gt;1,"重复","不")</f>
        <v>重复</v>
      </c>
      <c r="Y13" s="56" t="str">
        <f>IF(SUMPRODUCT(N(T$2:T$13=T13))&gt;1,"重复","不")</f>
        <v>重复</v>
      </c>
    </row>
    <row r="14" s="57" customFormat="1" spans="1:25">
      <c r="A14" s="114">
        <v>12</v>
      </c>
      <c r="B14" s="72"/>
      <c r="C14" s="118"/>
      <c r="D14" s="72"/>
      <c r="E14" s="119"/>
      <c r="F14" s="115" t="e">
        <f t="shared" si="0"/>
        <v>#VALUE!</v>
      </c>
      <c r="G14" s="116"/>
      <c r="H14" s="117">
        <v>11000</v>
      </c>
      <c r="I14" s="131">
        <f t="shared" si="1"/>
        <v>2200</v>
      </c>
      <c r="J14" s="131">
        <f t="shared" si="2"/>
        <v>6160</v>
      </c>
      <c r="K14" s="132">
        <v>0.2</v>
      </c>
      <c r="L14" s="133">
        <f t="shared" si="3"/>
        <v>1232</v>
      </c>
      <c r="M14" s="134">
        <f t="shared" si="4"/>
        <v>9768</v>
      </c>
      <c r="N14" s="53"/>
      <c r="O14" s="134">
        <f t="shared" si="5"/>
        <v>9768</v>
      </c>
      <c r="P14" s="135"/>
      <c r="Q14" s="134">
        <f t="shared" si="6"/>
        <v>11000</v>
      </c>
      <c r="R14" s="104"/>
      <c r="S14" s="104"/>
      <c r="T14" s="119"/>
      <c r="U14" s="106"/>
      <c r="V14" s="104"/>
      <c r="W14" s="109" t="str">
        <f t="shared" si="7"/>
        <v>未填写身份证号码</v>
      </c>
      <c r="X14" s="136" t="str">
        <f>IF(SUMPRODUCT(N(E$1:E$14=E14))&gt;1,"重复","不")</f>
        <v>重复</v>
      </c>
      <c r="Y14" s="56" t="str">
        <f>IF(SUMPRODUCT(N(T$2:T$13=T14))&gt;1,"重复","不")</f>
        <v>重复</v>
      </c>
    </row>
    <row r="15" spans="1:25">
      <c r="A15" s="120" t="s">
        <v>97</v>
      </c>
      <c r="B15" s="120"/>
      <c r="C15" s="120"/>
      <c r="D15" s="121"/>
      <c r="E15" s="80"/>
      <c r="F15" s="80"/>
      <c r="G15" s="80"/>
      <c r="H15" s="122">
        <f>SUM(H4:H14)</f>
        <v>64100</v>
      </c>
      <c r="I15" s="122">
        <f>SUM(I4:I14)</f>
        <v>14400</v>
      </c>
      <c r="J15" s="122">
        <f>SUM(J4:J14)</f>
        <v>35140</v>
      </c>
      <c r="K15" s="122"/>
      <c r="L15" s="122">
        <f t="shared" ref="L15:Q15" si="8">SUM(L4:L14)</f>
        <v>7028</v>
      </c>
      <c r="M15" s="122">
        <f t="shared" si="8"/>
        <v>57072</v>
      </c>
      <c r="N15" s="122">
        <f t="shared" si="8"/>
        <v>0</v>
      </c>
      <c r="O15" s="122">
        <f t="shared" si="8"/>
        <v>57072</v>
      </c>
      <c r="P15" s="122">
        <f t="shared" si="8"/>
        <v>50</v>
      </c>
      <c r="Q15" s="122">
        <f t="shared" si="8"/>
        <v>64150</v>
      </c>
      <c r="R15" s="80"/>
      <c r="S15" s="80"/>
      <c r="T15" s="137"/>
      <c r="U15" s="80"/>
      <c r="V15" s="80"/>
      <c r="W15" s="80"/>
      <c r="X15" s="80"/>
      <c r="Y15" s="80"/>
    </row>
    <row r="16" spans="1:17">
      <c r="A16" s="81"/>
      <c r="B16" s="81"/>
      <c r="C16" s="82"/>
      <c r="D16" s="83"/>
      <c r="H16" s="82"/>
      <c r="I16" s="82"/>
      <c r="J16" s="82"/>
      <c r="K16" s="82"/>
      <c r="L16" s="82"/>
      <c r="M16" s="82"/>
      <c r="N16" s="11"/>
      <c r="O16" s="82"/>
      <c r="P16" s="82"/>
      <c r="Q16" s="82"/>
    </row>
    <row r="17" s="57" customFormat="1" spans="1:20">
      <c r="A17" s="60"/>
      <c r="B17" s="60"/>
      <c r="C17" s="60"/>
      <c r="D17" s="61"/>
      <c r="E17" s="60"/>
      <c r="F17" s="60"/>
      <c r="G17" s="60"/>
      <c r="H17" s="60"/>
      <c r="I17" s="60"/>
      <c r="J17" s="60"/>
      <c r="K17" s="60"/>
      <c r="L17" s="60"/>
      <c r="M17" s="60"/>
      <c r="N17" s="11"/>
      <c r="O17" s="60"/>
      <c r="P17" s="60"/>
      <c r="Q17" s="60"/>
      <c r="R17" s="60"/>
      <c r="S17" s="60"/>
      <c r="T17" s="63"/>
    </row>
    <row r="18" s="11" customFormat="1" spans="1:7">
      <c r="A18" s="32" t="s">
        <v>100</v>
      </c>
      <c r="B18" s="33" t="s">
        <v>101</v>
      </c>
      <c r="C18" s="31"/>
      <c r="D18" s="31"/>
      <c r="E18" s="31"/>
      <c r="G18" s="12"/>
    </row>
    <row r="19" s="11" customFormat="1" spans="1:7">
      <c r="A19" s="34"/>
      <c r="B19" s="35" t="s">
        <v>102</v>
      </c>
      <c r="C19" s="31"/>
      <c r="D19" s="31"/>
      <c r="E19" s="31"/>
      <c r="G19" s="12"/>
    </row>
    <row r="20" s="11" customFormat="1" spans="1:11">
      <c r="A20" s="33"/>
      <c r="B20" s="35" t="s">
        <v>123</v>
      </c>
      <c r="C20" s="36"/>
      <c r="D20" s="36"/>
      <c r="E20" s="36"/>
      <c r="F20" s="36"/>
      <c r="G20" s="36"/>
      <c r="H20" s="36"/>
      <c r="I20" s="36"/>
      <c r="J20" s="36"/>
      <c r="K20" s="36"/>
    </row>
    <row r="21" s="11" customFormat="1" customHeight="1" spans="1:11">
      <c r="A21" s="35"/>
      <c r="B21" s="35" t="s">
        <v>104</v>
      </c>
      <c r="C21" s="37"/>
      <c r="D21" s="37"/>
      <c r="E21" s="37"/>
      <c r="F21" s="37"/>
      <c r="G21" s="37"/>
      <c r="H21" s="37"/>
      <c r="I21" s="38"/>
      <c r="J21" s="38"/>
      <c r="K21" s="38"/>
    </row>
    <row r="22" s="11" customFormat="1" customHeight="1" spans="1:11">
      <c r="A22" s="35"/>
      <c r="B22" s="35" t="s">
        <v>105</v>
      </c>
      <c r="C22" s="37"/>
      <c r="D22" s="37"/>
      <c r="E22" s="37"/>
      <c r="F22" s="37"/>
      <c r="G22" s="37"/>
      <c r="H22" s="37"/>
      <c r="I22" s="38"/>
      <c r="J22" s="38"/>
      <c r="K22" s="38"/>
    </row>
    <row r="23" s="11" customFormat="1" customHeight="1" spans="1:11">
      <c r="A23" s="35"/>
      <c r="B23" s="35" t="s">
        <v>106</v>
      </c>
      <c r="C23" s="37"/>
      <c r="D23" s="37"/>
      <c r="E23" s="37"/>
      <c r="F23" s="37"/>
      <c r="G23" s="37"/>
      <c r="H23" s="37"/>
      <c r="I23" s="38"/>
      <c r="J23" s="38"/>
      <c r="K23" s="38"/>
    </row>
    <row r="24" s="111" customFormat="1" spans="1:20">
      <c r="A24" s="123"/>
      <c r="B24" s="124"/>
      <c r="C24" s="125"/>
      <c r="D24" s="126"/>
      <c r="E24" s="127"/>
      <c r="F24" s="127"/>
      <c r="G24" s="127"/>
      <c r="H24" s="127"/>
      <c r="I24" s="127"/>
      <c r="J24" s="127"/>
      <c r="K24" s="127"/>
      <c r="L24" s="127"/>
      <c r="M24" s="127"/>
      <c r="N24" s="11"/>
      <c r="O24" s="127"/>
      <c r="P24" s="127"/>
      <c r="Q24" s="127"/>
      <c r="R24" s="127"/>
      <c r="S24" s="127"/>
      <c r="T24" s="138"/>
    </row>
    <row r="25" s="111" customFormat="1" ht="11.25" spans="1:18">
      <c r="A25" s="127"/>
      <c r="B25" s="124" t="s">
        <v>107</v>
      </c>
      <c r="C25" s="125"/>
      <c r="D25" s="126"/>
      <c r="E25" s="127"/>
      <c r="F25" s="127"/>
      <c r="G25" s="127"/>
      <c r="H25" s="127"/>
      <c r="I25" s="127"/>
      <c r="J25" s="127"/>
      <c r="K25" s="127"/>
      <c r="L25" s="127"/>
      <c r="M25" s="127"/>
      <c r="N25" s="127"/>
      <c r="O25" s="127"/>
      <c r="P25" s="127"/>
      <c r="Q25" s="127"/>
      <c r="R25" s="138"/>
    </row>
    <row r="26" s="111" customFormat="1" ht="11.25" spans="1:18">
      <c r="A26" s="127"/>
      <c r="B26" s="128" t="s">
        <v>133</v>
      </c>
      <c r="C26" s="128"/>
      <c r="D26" s="126"/>
      <c r="E26" s="127"/>
      <c r="F26" s="127"/>
      <c r="G26" s="127"/>
      <c r="H26" s="127"/>
      <c r="I26" s="127"/>
      <c r="J26" s="127"/>
      <c r="K26" s="127"/>
      <c r="L26" s="127"/>
      <c r="M26" s="127"/>
      <c r="N26" s="127"/>
      <c r="O26" s="127"/>
      <c r="P26" s="127"/>
      <c r="Q26" s="127"/>
      <c r="R26" s="138"/>
    </row>
    <row r="27" s="111" customFormat="1" ht="11.25" spans="1:18">
      <c r="A27" s="127"/>
      <c r="B27" s="128" t="s">
        <v>134</v>
      </c>
      <c r="C27" s="128"/>
      <c r="D27" s="126"/>
      <c r="E27" s="127"/>
      <c r="F27" s="127"/>
      <c r="G27" s="127"/>
      <c r="H27" s="127"/>
      <c r="I27" s="127"/>
      <c r="J27" s="127"/>
      <c r="K27" s="127"/>
      <c r="L27" s="127"/>
      <c r="M27" s="127"/>
      <c r="N27" s="127"/>
      <c r="O27" s="127"/>
      <c r="P27" s="127"/>
      <c r="Q27" s="127"/>
      <c r="R27" s="138"/>
    </row>
    <row r="28" spans="2:14">
      <c r="B28" s="128" t="s">
        <v>135</v>
      </c>
      <c r="N28" s="11"/>
    </row>
    <row r="29" spans="2:14">
      <c r="B29" s="129" t="s">
        <v>136</v>
      </c>
      <c r="N29" s="11"/>
    </row>
    <row r="30" spans="14:14">
      <c r="N30" s="11"/>
    </row>
    <row r="31" spans="14:14">
      <c r="N31" s="11"/>
    </row>
    <row r="32" spans="14:14">
      <c r="N32" s="11"/>
    </row>
    <row r="33" spans="14:14">
      <c r="N33" s="11"/>
    </row>
    <row r="34" spans="14:14">
      <c r="N34" s="11"/>
    </row>
    <row r="35" spans="14:14">
      <c r="N35" s="11"/>
    </row>
    <row r="36" spans="14:14">
      <c r="N36" s="11"/>
    </row>
    <row r="37" spans="14:14">
      <c r="N37" s="11"/>
    </row>
  </sheetData>
  <mergeCells count="25"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N3"/>
    <mergeCell ref="O2:O3"/>
    <mergeCell ref="P2:P3"/>
    <mergeCell ref="Q2:Q3"/>
    <mergeCell ref="R2:R3"/>
    <mergeCell ref="S2:S3"/>
    <mergeCell ref="T2:T3"/>
    <mergeCell ref="U2:U3"/>
    <mergeCell ref="V2:V3"/>
    <mergeCell ref="W2:W3"/>
    <mergeCell ref="X2:X3"/>
    <mergeCell ref="Y2:Y3"/>
  </mergeCells>
  <pageMargins left="0.25" right="0.25" top="0.75" bottom="0.75" header="0.511805555555555" footer="0.511805555555555"/>
  <pageSetup paperSize="9" firstPageNumber="0" orientation="landscape" useFirstPageNumber="1" horizontalDpi="300" verticalDpi="300"/>
  <headerFooter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Y37"/>
  <sheetViews>
    <sheetView workbookViewId="0">
      <selection activeCell="I4" sqref="I4"/>
    </sheetView>
  </sheetViews>
  <sheetFormatPr defaultColWidth="9" defaultRowHeight="13.5"/>
  <cols>
    <col min="1" max="1" width="4.5" style="60" customWidth="1"/>
    <col min="2" max="2" width="16" style="60" customWidth="1"/>
    <col min="3" max="3" width="12" style="60" customWidth="1"/>
    <col min="4" max="4" width="12" style="61" customWidth="1"/>
    <col min="5" max="5" width="18.0083333333333" style="60" customWidth="1"/>
    <col min="6" max="6" width="7.5" style="60" customWidth="1"/>
    <col min="7" max="7" width="12.7583333333333" style="60" customWidth="1"/>
    <col min="8" max="8" width="12.5" style="60" customWidth="1"/>
    <col min="9" max="9" width="12.2583333333333" style="60" customWidth="1"/>
    <col min="10" max="10" width="12.5" style="60" customWidth="1"/>
    <col min="11" max="11" width="5.75833333333333" style="60" customWidth="1"/>
    <col min="12" max="12" width="12.2583333333333" style="60" customWidth="1"/>
    <col min="13" max="13" width="10.3833333333333" style="60" customWidth="1"/>
    <col min="14" max="14" width="9" customWidth="1"/>
    <col min="15" max="15" width="13.3833333333333" style="60" customWidth="1"/>
    <col min="16" max="16" width="7.75833333333333" style="60" customWidth="1"/>
    <col min="17" max="17" width="13.8833333333333" style="60" customWidth="1"/>
    <col min="18" max="19" width="9" style="60" customWidth="1"/>
    <col min="20" max="20" width="23.25" style="63" customWidth="1"/>
    <col min="21" max="21" width="12.2583333333333" style="60" customWidth="1"/>
    <col min="22" max="22" width="6.75833333333333" style="60" customWidth="1"/>
    <col min="23" max="23" width="11.3833333333333" style="60" customWidth="1"/>
    <col min="24" max="24" width="8.61666666666667" style="60" customWidth="1"/>
    <col min="25" max="1025" width="9" style="60" customWidth="1"/>
  </cols>
  <sheetData>
    <row r="1" s="57" customFormat="1" ht="28.5" customHeight="1" spans="1:24">
      <c r="A1" s="13" t="s">
        <v>0</v>
      </c>
      <c r="B1" s="64"/>
      <c r="C1" s="112"/>
      <c r="D1" s="66"/>
      <c r="E1" s="60"/>
      <c r="F1" s="60"/>
      <c r="H1" s="84"/>
      <c r="I1" s="84"/>
      <c r="J1" s="84"/>
      <c r="K1" s="84"/>
      <c r="L1" s="84"/>
      <c r="M1" s="84"/>
      <c r="N1"/>
      <c r="O1" s="84"/>
      <c r="P1" s="84"/>
      <c r="Q1" s="85"/>
      <c r="R1" s="60"/>
      <c r="S1" s="60"/>
      <c r="T1" s="63"/>
      <c r="U1" s="60"/>
      <c r="V1" s="60"/>
      <c r="W1" s="60"/>
      <c r="X1" s="60"/>
    </row>
    <row r="2" s="58" customFormat="1" ht="21.75" customHeight="1" spans="1:25">
      <c r="A2" s="67" t="s">
        <v>2</v>
      </c>
      <c r="B2" s="113" t="s">
        <v>110</v>
      </c>
      <c r="C2" s="113" t="s">
        <v>4</v>
      </c>
      <c r="D2" s="113" t="s">
        <v>5</v>
      </c>
      <c r="E2" s="69" t="s">
        <v>6</v>
      </c>
      <c r="F2" s="70" t="s">
        <v>7</v>
      </c>
      <c r="G2" s="69" t="s">
        <v>8</v>
      </c>
      <c r="H2" s="113" t="s">
        <v>137</v>
      </c>
      <c r="I2" s="90" t="s">
        <v>112</v>
      </c>
      <c r="J2" s="90" t="s">
        <v>113</v>
      </c>
      <c r="K2" s="90" t="s">
        <v>114</v>
      </c>
      <c r="L2" s="90" t="s">
        <v>116</v>
      </c>
      <c r="M2" s="91" t="s">
        <v>30</v>
      </c>
      <c r="N2" s="130" t="s">
        <v>31</v>
      </c>
      <c r="O2" s="91" t="s">
        <v>32</v>
      </c>
      <c r="P2" s="68" t="s">
        <v>33</v>
      </c>
      <c r="Q2" s="91" t="s">
        <v>34</v>
      </c>
      <c r="R2" s="69" t="s">
        <v>35</v>
      </c>
      <c r="S2" s="69" t="s">
        <v>36</v>
      </c>
      <c r="T2" s="102" t="s">
        <v>37</v>
      </c>
      <c r="U2" s="69" t="s">
        <v>38</v>
      </c>
      <c r="V2" s="69" t="s">
        <v>39</v>
      </c>
      <c r="W2" s="70" t="s">
        <v>40</v>
      </c>
      <c r="X2" s="70" t="s">
        <v>41</v>
      </c>
      <c r="Y2" s="70" t="s">
        <v>41</v>
      </c>
    </row>
    <row r="3" s="58" customFormat="1" ht="21.75" customHeight="1" spans="1:25">
      <c r="A3" s="67"/>
      <c r="B3" s="113"/>
      <c r="C3" s="113"/>
      <c r="D3" s="113"/>
      <c r="E3" s="69"/>
      <c r="F3" s="70"/>
      <c r="G3" s="69"/>
      <c r="H3" s="113"/>
      <c r="I3" s="90"/>
      <c r="J3" s="90"/>
      <c r="K3" s="90"/>
      <c r="L3" s="90"/>
      <c r="M3" s="91"/>
      <c r="N3" s="130"/>
      <c r="O3" s="91"/>
      <c r="P3" s="68"/>
      <c r="Q3" s="91"/>
      <c r="R3" s="69"/>
      <c r="S3" s="69"/>
      <c r="T3" s="102"/>
      <c r="U3" s="69"/>
      <c r="V3" s="69"/>
      <c r="W3" s="70"/>
      <c r="X3" s="70"/>
      <c r="Y3" s="70"/>
    </row>
    <row r="4" s="57" customFormat="1" spans="1:25">
      <c r="A4" s="114">
        <v>1</v>
      </c>
      <c r="B4" s="72" t="s">
        <v>117</v>
      </c>
      <c r="C4" s="72" t="s">
        <v>118</v>
      </c>
      <c r="D4" s="72" t="s">
        <v>56</v>
      </c>
      <c r="E4" s="74" t="s">
        <v>119</v>
      </c>
      <c r="F4" s="115" t="str">
        <f t="shared" ref="F4:F14" si="0">IF(MOD(MID(E4,17,1),2)=1,"男","女")</f>
        <v>男</v>
      </c>
      <c r="G4" s="116">
        <v>13869452862</v>
      </c>
      <c r="H4" s="117">
        <v>1000</v>
      </c>
      <c r="I4" s="131">
        <f t="shared" ref="I4:I14" si="1">ROUND(IF(H4&lt;=4000,800,H4*20%),2)</f>
        <v>800</v>
      </c>
      <c r="J4" s="131">
        <f t="shared" ref="J4:J14" si="2">IF((H4-I4)&gt;0,H4-I4,0)</f>
        <v>200</v>
      </c>
      <c r="K4" s="132">
        <v>0.2</v>
      </c>
      <c r="L4" s="133">
        <f t="shared" ref="L4:L14" si="3">J4*K4</f>
        <v>40</v>
      </c>
      <c r="M4" s="134">
        <f t="shared" ref="M4:M14" si="4">H4-L4</f>
        <v>960</v>
      </c>
      <c r="N4" s="53"/>
      <c r="O4" s="134">
        <f t="shared" ref="O4:O14" si="5">M4+N4</f>
        <v>960</v>
      </c>
      <c r="P4" s="135">
        <v>50</v>
      </c>
      <c r="Q4" s="134">
        <f t="shared" ref="Q4:Q14" si="6">L4+O4+P4</f>
        <v>1050</v>
      </c>
      <c r="R4" s="104"/>
      <c r="S4" s="104"/>
      <c r="T4" s="119"/>
      <c r="U4" s="106"/>
      <c r="V4" s="104"/>
      <c r="W4" s="109" t="str">
        <f t="shared" ref="W4:W14" si="7"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X4" s="136" t="str">
        <f>IF(SUMPRODUCT(N(E$1:E$14=E4))&gt;1,"重复","不")</f>
        <v>不</v>
      </c>
      <c r="Y4" s="56" t="str">
        <f>IF(SUMPRODUCT(N(T$2:T$13=T4))&gt;1,"重复","不")</f>
        <v>重复</v>
      </c>
    </row>
    <row r="5" s="57" customFormat="1" spans="1:25">
      <c r="A5" s="114">
        <v>2</v>
      </c>
      <c r="B5" s="72" t="s">
        <v>117</v>
      </c>
      <c r="C5" s="72" t="s">
        <v>120</v>
      </c>
      <c r="D5" s="72" t="s">
        <v>121</v>
      </c>
      <c r="E5" s="74" t="s">
        <v>122</v>
      </c>
      <c r="F5" s="115" t="str">
        <f t="shared" si="0"/>
        <v>男</v>
      </c>
      <c r="G5" s="116">
        <v>12311111111</v>
      </c>
      <c r="H5" s="117">
        <v>3000</v>
      </c>
      <c r="I5" s="131">
        <f t="shared" si="1"/>
        <v>800</v>
      </c>
      <c r="J5" s="131">
        <f t="shared" si="2"/>
        <v>2200</v>
      </c>
      <c r="K5" s="132">
        <v>0.2</v>
      </c>
      <c r="L5" s="133">
        <f t="shared" si="3"/>
        <v>440</v>
      </c>
      <c r="M5" s="134">
        <f t="shared" si="4"/>
        <v>2560</v>
      </c>
      <c r="N5" s="53"/>
      <c r="O5" s="134">
        <f t="shared" si="5"/>
        <v>2560</v>
      </c>
      <c r="P5" s="135">
        <v>51</v>
      </c>
      <c r="Q5" s="134">
        <f t="shared" si="6"/>
        <v>3051</v>
      </c>
      <c r="R5" s="104"/>
      <c r="S5" s="104"/>
      <c r="T5" s="119"/>
      <c r="U5" s="106"/>
      <c r="V5" s="104"/>
      <c r="W5" s="109" t="str">
        <f t="shared" si="7"/>
        <v>正确</v>
      </c>
      <c r="X5" s="136" t="str">
        <f>IF(SUMPRODUCT(N(E$1:E$14=E5))&gt;1,"重复","不")</f>
        <v>不</v>
      </c>
      <c r="Y5" s="56" t="str">
        <f>IF(SUMPRODUCT(N(T$2:T$13=T5))&gt;1,"重复","不")</f>
        <v>重复</v>
      </c>
    </row>
    <row r="6" s="57" customFormat="1" spans="1:25">
      <c r="A6" s="114">
        <v>3</v>
      </c>
      <c r="B6" s="72"/>
      <c r="C6" s="72"/>
      <c r="D6" s="72"/>
      <c r="E6" s="74"/>
      <c r="F6" s="115" t="e">
        <f t="shared" si="0"/>
        <v>#VALUE!</v>
      </c>
      <c r="G6" s="116"/>
      <c r="H6" s="117">
        <v>4000</v>
      </c>
      <c r="I6" s="131">
        <f t="shared" si="1"/>
        <v>800</v>
      </c>
      <c r="J6" s="131">
        <f t="shared" si="2"/>
        <v>3200</v>
      </c>
      <c r="K6" s="132">
        <v>0.2</v>
      </c>
      <c r="L6" s="133">
        <f t="shared" si="3"/>
        <v>640</v>
      </c>
      <c r="M6" s="134">
        <f t="shared" si="4"/>
        <v>3360</v>
      </c>
      <c r="N6" s="53"/>
      <c r="O6" s="134">
        <f t="shared" si="5"/>
        <v>3360</v>
      </c>
      <c r="P6" s="135">
        <v>52</v>
      </c>
      <c r="Q6" s="134">
        <f t="shared" si="6"/>
        <v>4052</v>
      </c>
      <c r="R6" s="104"/>
      <c r="S6" s="104"/>
      <c r="T6" s="119"/>
      <c r="U6" s="106"/>
      <c r="V6" s="104"/>
      <c r="W6" s="109" t="str">
        <f t="shared" si="7"/>
        <v>未填写身份证号码</v>
      </c>
      <c r="X6" s="136" t="str">
        <f>IF(SUMPRODUCT(N(E$1:E$14=E6))&gt;1,"重复","不")</f>
        <v>重复</v>
      </c>
      <c r="Y6" s="56" t="str">
        <f>IF(SUMPRODUCT(N(T$2:T$13=T6))&gt;1,"重复","不")</f>
        <v>重复</v>
      </c>
    </row>
    <row r="7" s="57" customFormat="1" spans="1:25">
      <c r="A7" s="114">
        <v>4</v>
      </c>
      <c r="B7" s="72"/>
      <c r="C7" s="72"/>
      <c r="D7" s="72"/>
      <c r="E7" s="74"/>
      <c r="F7" s="115" t="e">
        <f t="shared" si="0"/>
        <v>#VALUE!</v>
      </c>
      <c r="G7" s="116"/>
      <c r="H7" s="117">
        <v>5000</v>
      </c>
      <c r="I7" s="131">
        <f t="shared" si="1"/>
        <v>1000</v>
      </c>
      <c r="J7" s="131">
        <f t="shared" si="2"/>
        <v>4000</v>
      </c>
      <c r="K7" s="132">
        <v>0.2</v>
      </c>
      <c r="L7" s="133">
        <f t="shared" si="3"/>
        <v>800</v>
      </c>
      <c r="M7" s="134">
        <f t="shared" si="4"/>
        <v>4200</v>
      </c>
      <c r="N7" s="53"/>
      <c r="O7" s="134">
        <f t="shared" si="5"/>
        <v>4200</v>
      </c>
      <c r="P7" s="135">
        <v>53</v>
      </c>
      <c r="Q7" s="134">
        <f t="shared" si="6"/>
        <v>5053</v>
      </c>
      <c r="R7" s="104"/>
      <c r="S7" s="104"/>
      <c r="T7" s="119"/>
      <c r="U7" s="106"/>
      <c r="V7" s="104"/>
      <c r="W7" s="109" t="str">
        <f t="shared" si="7"/>
        <v>未填写身份证号码</v>
      </c>
      <c r="X7" s="136" t="str">
        <f>IF(SUMPRODUCT(N(E$1:E$14=E7))&gt;1,"重复","不")</f>
        <v>重复</v>
      </c>
      <c r="Y7" s="56" t="str">
        <f>IF(SUMPRODUCT(N(T$2:T$13=T7))&gt;1,"重复","不")</f>
        <v>重复</v>
      </c>
    </row>
    <row r="8" s="57" customFormat="1" spans="1:25">
      <c r="A8" s="114">
        <v>5</v>
      </c>
      <c r="B8" s="72"/>
      <c r="C8" s="72"/>
      <c r="D8" s="72"/>
      <c r="E8" s="74"/>
      <c r="F8" s="115" t="e">
        <f t="shared" si="0"/>
        <v>#VALUE!</v>
      </c>
      <c r="G8" s="116"/>
      <c r="H8" s="117">
        <v>6000</v>
      </c>
      <c r="I8" s="131">
        <f t="shared" si="1"/>
        <v>1200</v>
      </c>
      <c r="J8" s="131">
        <f t="shared" si="2"/>
        <v>4800</v>
      </c>
      <c r="K8" s="132">
        <v>0.2</v>
      </c>
      <c r="L8" s="133">
        <f t="shared" si="3"/>
        <v>960</v>
      </c>
      <c r="M8" s="134">
        <f t="shared" si="4"/>
        <v>5040</v>
      </c>
      <c r="N8" s="53"/>
      <c r="O8" s="134">
        <f t="shared" si="5"/>
        <v>5040</v>
      </c>
      <c r="P8" s="135">
        <v>54</v>
      </c>
      <c r="Q8" s="134">
        <f t="shared" si="6"/>
        <v>6054</v>
      </c>
      <c r="R8" s="104"/>
      <c r="S8" s="104"/>
      <c r="T8" s="119"/>
      <c r="U8" s="106"/>
      <c r="V8" s="104"/>
      <c r="W8" s="109" t="str">
        <f t="shared" si="7"/>
        <v>未填写身份证号码</v>
      </c>
      <c r="X8" s="136" t="str">
        <f>IF(SUMPRODUCT(N(E$1:E$14=E8))&gt;1,"重复","不")</f>
        <v>重复</v>
      </c>
      <c r="Y8" s="56" t="str">
        <f>IF(SUMPRODUCT(N(T$2:T$13=T8))&gt;1,"重复","不")</f>
        <v>重复</v>
      </c>
    </row>
    <row r="9" s="57" customFormat="1" spans="1:25">
      <c r="A9" s="114">
        <v>6</v>
      </c>
      <c r="B9" s="72"/>
      <c r="C9" s="72"/>
      <c r="D9" s="72"/>
      <c r="E9" s="74"/>
      <c r="F9" s="115" t="e">
        <f t="shared" si="0"/>
        <v>#VALUE!</v>
      </c>
      <c r="G9" s="116"/>
      <c r="H9" s="117">
        <v>7000</v>
      </c>
      <c r="I9" s="131">
        <f t="shared" si="1"/>
        <v>1400</v>
      </c>
      <c r="J9" s="131">
        <f t="shared" si="2"/>
        <v>5600</v>
      </c>
      <c r="K9" s="132">
        <v>0.2</v>
      </c>
      <c r="L9" s="133">
        <f t="shared" si="3"/>
        <v>1120</v>
      </c>
      <c r="M9" s="134">
        <f t="shared" si="4"/>
        <v>5880</v>
      </c>
      <c r="N9" s="53"/>
      <c r="O9" s="134">
        <f t="shared" si="5"/>
        <v>5880</v>
      </c>
      <c r="P9" s="135">
        <v>55</v>
      </c>
      <c r="Q9" s="134">
        <f t="shared" si="6"/>
        <v>7055</v>
      </c>
      <c r="R9" s="104"/>
      <c r="S9" s="104"/>
      <c r="T9" s="119"/>
      <c r="U9" s="106"/>
      <c r="V9" s="104"/>
      <c r="W9" s="109" t="str">
        <f t="shared" si="7"/>
        <v>未填写身份证号码</v>
      </c>
      <c r="X9" s="136" t="str">
        <f>IF(SUMPRODUCT(N(E$1:E$14=E9))&gt;1,"重复","不")</f>
        <v>重复</v>
      </c>
      <c r="Y9" s="56" t="str">
        <f>IF(SUMPRODUCT(N(T$2:T$13=T9))&gt;1,"重复","不")</f>
        <v>重复</v>
      </c>
    </row>
    <row r="10" s="57" customFormat="1" spans="1:25">
      <c r="A10" s="114">
        <v>7</v>
      </c>
      <c r="B10" s="72"/>
      <c r="C10" s="72"/>
      <c r="D10" s="72"/>
      <c r="E10" s="74"/>
      <c r="F10" s="115" t="e">
        <f t="shared" si="0"/>
        <v>#VALUE!</v>
      </c>
      <c r="G10" s="116"/>
      <c r="H10" s="117">
        <v>8000</v>
      </c>
      <c r="I10" s="131">
        <f t="shared" si="1"/>
        <v>1600</v>
      </c>
      <c r="J10" s="131">
        <f t="shared" si="2"/>
        <v>6400</v>
      </c>
      <c r="K10" s="132">
        <v>0.2</v>
      </c>
      <c r="L10" s="133">
        <f t="shared" si="3"/>
        <v>1280</v>
      </c>
      <c r="M10" s="134">
        <f t="shared" si="4"/>
        <v>6720</v>
      </c>
      <c r="N10" s="53"/>
      <c r="O10" s="134">
        <f t="shared" si="5"/>
        <v>6720</v>
      </c>
      <c r="P10" s="135">
        <v>56</v>
      </c>
      <c r="Q10" s="134">
        <f t="shared" si="6"/>
        <v>8056</v>
      </c>
      <c r="R10" s="104"/>
      <c r="S10" s="104"/>
      <c r="T10" s="119"/>
      <c r="U10" s="106"/>
      <c r="V10" s="104"/>
      <c r="W10" s="109" t="str">
        <f t="shared" si="7"/>
        <v>未填写身份证号码</v>
      </c>
      <c r="X10" s="136" t="str">
        <f>IF(SUMPRODUCT(N(E$1:E$14=E10))&gt;1,"重复","不")</f>
        <v>重复</v>
      </c>
      <c r="Y10" s="56" t="str">
        <f>IF(SUMPRODUCT(N(T$2:T$13=T10))&gt;1,"重复","不")</f>
        <v>重复</v>
      </c>
    </row>
    <row r="11" s="57" customFormat="1" spans="1:25">
      <c r="A11" s="114">
        <v>8</v>
      </c>
      <c r="B11" s="72"/>
      <c r="C11" s="72"/>
      <c r="D11" s="72"/>
      <c r="E11" s="74"/>
      <c r="F11" s="115" t="e">
        <f t="shared" si="0"/>
        <v>#VALUE!</v>
      </c>
      <c r="G11" s="116"/>
      <c r="H11" s="117">
        <v>9000</v>
      </c>
      <c r="I11" s="131">
        <f t="shared" si="1"/>
        <v>1800</v>
      </c>
      <c r="J11" s="131">
        <f t="shared" si="2"/>
        <v>7200</v>
      </c>
      <c r="K11" s="132">
        <v>0.2</v>
      </c>
      <c r="L11" s="133">
        <f t="shared" si="3"/>
        <v>1440</v>
      </c>
      <c r="M11" s="134">
        <f t="shared" si="4"/>
        <v>7560</v>
      </c>
      <c r="N11" s="53"/>
      <c r="O11" s="134">
        <f t="shared" si="5"/>
        <v>7560</v>
      </c>
      <c r="P11" s="135">
        <v>57</v>
      </c>
      <c r="Q11" s="134">
        <f t="shared" si="6"/>
        <v>9057</v>
      </c>
      <c r="R11" s="104"/>
      <c r="S11" s="104"/>
      <c r="T11" s="119"/>
      <c r="U11" s="106"/>
      <c r="V11" s="104"/>
      <c r="W11" s="109" t="str">
        <f t="shared" si="7"/>
        <v>未填写身份证号码</v>
      </c>
      <c r="X11" s="136" t="str">
        <f>IF(SUMPRODUCT(N(E$1:E$14=E11))&gt;1,"重复","不")</f>
        <v>重复</v>
      </c>
      <c r="Y11" s="56" t="str">
        <f>IF(SUMPRODUCT(N(T$2:T$13=T11))&gt;1,"重复","不")</f>
        <v>重复</v>
      </c>
    </row>
    <row r="12" s="57" customFormat="1" spans="1:25">
      <c r="A12" s="114">
        <v>9</v>
      </c>
      <c r="B12" s="72"/>
      <c r="C12" s="106"/>
      <c r="D12" s="72"/>
      <c r="E12" s="74"/>
      <c r="F12" s="115" t="e">
        <f t="shared" si="0"/>
        <v>#VALUE!</v>
      </c>
      <c r="G12" s="116"/>
      <c r="H12" s="117">
        <v>10000</v>
      </c>
      <c r="I12" s="131">
        <f t="shared" si="1"/>
        <v>2000</v>
      </c>
      <c r="J12" s="131">
        <f t="shared" si="2"/>
        <v>8000</v>
      </c>
      <c r="K12" s="132">
        <v>0.2</v>
      </c>
      <c r="L12" s="133">
        <f t="shared" si="3"/>
        <v>1600</v>
      </c>
      <c r="M12" s="134">
        <f t="shared" si="4"/>
        <v>8400</v>
      </c>
      <c r="N12" s="53"/>
      <c r="O12" s="134">
        <f t="shared" si="5"/>
        <v>8400</v>
      </c>
      <c r="P12" s="135">
        <v>58</v>
      </c>
      <c r="Q12" s="134">
        <f t="shared" si="6"/>
        <v>10058</v>
      </c>
      <c r="R12" s="104"/>
      <c r="S12" s="104"/>
      <c r="T12" s="119"/>
      <c r="U12" s="106"/>
      <c r="V12" s="104"/>
      <c r="W12" s="109" t="str">
        <f t="shared" si="7"/>
        <v>未填写身份证号码</v>
      </c>
      <c r="X12" s="136" t="str">
        <f>IF(SUMPRODUCT(N(E$1:E$14=E12))&gt;1,"重复","不")</f>
        <v>重复</v>
      </c>
      <c r="Y12" s="56" t="str">
        <f>IF(SUMPRODUCT(N(T$2:T$13=T12))&gt;1,"重复","不")</f>
        <v>重复</v>
      </c>
    </row>
    <row r="13" s="57" customFormat="1" spans="1:25">
      <c r="A13" s="114">
        <v>10</v>
      </c>
      <c r="B13" s="72"/>
      <c r="C13" s="106"/>
      <c r="D13" s="72"/>
      <c r="E13" s="74"/>
      <c r="F13" s="115" t="e">
        <f t="shared" si="0"/>
        <v>#VALUE!</v>
      </c>
      <c r="G13" s="116"/>
      <c r="H13" s="117">
        <v>11000</v>
      </c>
      <c r="I13" s="131">
        <f t="shared" si="1"/>
        <v>2200</v>
      </c>
      <c r="J13" s="131">
        <f t="shared" si="2"/>
        <v>8800</v>
      </c>
      <c r="K13" s="132">
        <v>0.2</v>
      </c>
      <c r="L13" s="133">
        <f t="shared" si="3"/>
        <v>1760</v>
      </c>
      <c r="M13" s="134">
        <f t="shared" si="4"/>
        <v>9240</v>
      </c>
      <c r="N13" s="53"/>
      <c r="O13" s="134">
        <f t="shared" si="5"/>
        <v>9240</v>
      </c>
      <c r="P13" s="135">
        <v>59</v>
      </c>
      <c r="Q13" s="134">
        <f t="shared" si="6"/>
        <v>11059</v>
      </c>
      <c r="R13" s="104"/>
      <c r="S13" s="104"/>
      <c r="T13" s="119"/>
      <c r="U13" s="106"/>
      <c r="V13" s="104"/>
      <c r="W13" s="109" t="str">
        <f t="shared" si="7"/>
        <v>未填写身份证号码</v>
      </c>
      <c r="X13" s="136" t="str">
        <f>IF(SUMPRODUCT(N(E$1:E$14=E13))&gt;1,"重复","不")</f>
        <v>重复</v>
      </c>
      <c r="Y13" s="56" t="str">
        <f>IF(SUMPRODUCT(N(T$2:T$13=T13))&gt;1,"重复","不")</f>
        <v>重复</v>
      </c>
    </row>
    <row r="14" s="57" customFormat="1" spans="1:25">
      <c r="A14" s="114">
        <v>12</v>
      </c>
      <c r="B14" s="72"/>
      <c r="C14" s="118"/>
      <c r="D14" s="72"/>
      <c r="E14" s="119"/>
      <c r="F14" s="115" t="e">
        <f t="shared" si="0"/>
        <v>#VALUE!</v>
      </c>
      <c r="G14" s="116"/>
      <c r="H14" s="117">
        <v>12000</v>
      </c>
      <c r="I14" s="131">
        <f t="shared" si="1"/>
        <v>2400</v>
      </c>
      <c r="J14" s="131">
        <f t="shared" si="2"/>
        <v>9600</v>
      </c>
      <c r="K14" s="132">
        <v>0.2</v>
      </c>
      <c r="L14" s="133">
        <f t="shared" si="3"/>
        <v>1920</v>
      </c>
      <c r="M14" s="134">
        <f t="shared" si="4"/>
        <v>10080</v>
      </c>
      <c r="N14" s="53"/>
      <c r="O14" s="134">
        <f t="shared" si="5"/>
        <v>10080</v>
      </c>
      <c r="P14" s="135">
        <v>60</v>
      </c>
      <c r="Q14" s="134">
        <f t="shared" si="6"/>
        <v>12060</v>
      </c>
      <c r="R14" s="104"/>
      <c r="S14" s="104"/>
      <c r="T14" s="119"/>
      <c r="U14" s="106"/>
      <c r="V14" s="104"/>
      <c r="W14" s="109" t="str">
        <f t="shared" si="7"/>
        <v>未填写身份证号码</v>
      </c>
      <c r="X14" s="136" t="str">
        <f>IF(SUMPRODUCT(N(E$1:E$14=E14))&gt;1,"重复","不")</f>
        <v>重复</v>
      </c>
      <c r="Y14" s="56" t="str">
        <f>IF(SUMPRODUCT(N(T$2:T$13=T14))&gt;1,"重复","不")</f>
        <v>重复</v>
      </c>
    </row>
    <row r="15" spans="1:25">
      <c r="A15" s="120" t="s">
        <v>97</v>
      </c>
      <c r="B15" s="120"/>
      <c r="C15" s="120"/>
      <c r="D15" s="121"/>
      <c r="E15" s="80"/>
      <c r="F15" s="80"/>
      <c r="G15" s="80"/>
      <c r="H15" s="122">
        <f>SUM(H4:H14)</f>
        <v>76000</v>
      </c>
      <c r="I15" s="122">
        <f>SUM(I4:I14)</f>
        <v>16000</v>
      </c>
      <c r="J15" s="122">
        <f>SUM(J4:J14)</f>
        <v>60000</v>
      </c>
      <c r="K15" s="122"/>
      <c r="L15" s="122">
        <f t="shared" ref="L15:Q15" si="8">SUM(L4:L14)</f>
        <v>12000</v>
      </c>
      <c r="M15" s="122">
        <f t="shared" si="8"/>
        <v>64000</v>
      </c>
      <c r="N15" s="122">
        <f t="shared" si="8"/>
        <v>0</v>
      </c>
      <c r="O15" s="122">
        <f t="shared" si="8"/>
        <v>64000</v>
      </c>
      <c r="P15" s="122">
        <f t="shared" si="8"/>
        <v>605</v>
      </c>
      <c r="Q15" s="122">
        <f t="shared" si="8"/>
        <v>76605</v>
      </c>
      <c r="R15" s="80"/>
      <c r="S15" s="80"/>
      <c r="T15" s="137"/>
      <c r="U15" s="80"/>
      <c r="V15" s="80"/>
      <c r="W15" s="80"/>
      <c r="X15" s="80"/>
      <c r="Y15" s="80"/>
    </row>
    <row r="16" spans="1:17">
      <c r="A16" s="81"/>
      <c r="B16" s="81"/>
      <c r="C16" s="82"/>
      <c r="D16" s="83"/>
      <c r="H16" s="82"/>
      <c r="I16" s="82"/>
      <c r="J16" s="82"/>
      <c r="K16" s="82"/>
      <c r="L16" s="82"/>
      <c r="M16" s="82"/>
      <c r="N16" s="11"/>
      <c r="O16" s="82"/>
      <c r="P16" s="82"/>
      <c r="Q16" s="82"/>
    </row>
    <row r="17" s="57" customFormat="1" spans="1:20">
      <c r="A17" s="60"/>
      <c r="B17" s="60"/>
      <c r="C17" s="60"/>
      <c r="D17" s="61"/>
      <c r="E17" s="60"/>
      <c r="F17" s="60"/>
      <c r="G17" s="60"/>
      <c r="H17" s="60"/>
      <c r="I17" s="60"/>
      <c r="J17" s="60"/>
      <c r="K17" s="60"/>
      <c r="L17" s="60"/>
      <c r="M17" s="60"/>
      <c r="N17" s="11"/>
      <c r="O17" s="60"/>
      <c r="P17" s="60"/>
      <c r="Q17" s="60"/>
      <c r="R17" s="60"/>
      <c r="S17" s="60"/>
      <c r="T17" s="63"/>
    </row>
    <row r="18" s="11" customFormat="1" spans="1:7">
      <c r="A18" s="32" t="s">
        <v>100</v>
      </c>
      <c r="B18" s="33" t="s">
        <v>101</v>
      </c>
      <c r="C18" s="31"/>
      <c r="D18" s="31"/>
      <c r="E18" s="31"/>
      <c r="G18" s="12"/>
    </row>
    <row r="19" s="11" customFormat="1" spans="1:7">
      <c r="A19" s="34"/>
      <c r="B19" s="35" t="s">
        <v>102</v>
      </c>
      <c r="C19" s="31"/>
      <c r="D19" s="31"/>
      <c r="E19" s="31"/>
      <c r="G19" s="12"/>
    </row>
    <row r="20" s="11" customFormat="1" spans="1:11">
      <c r="A20" s="33"/>
      <c r="B20" s="35" t="s">
        <v>123</v>
      </c>
      <c r="C20" s="36"/>
      <c r="D20" s="36"/>
      <c r="E20" s="36"/>
      <c r="F20" s="36"/>
      <c r="G20" s="36"/>
      <c r="H20" s="36"/>
      <c r="I20" s="36"/>
      <c r="J20" s="36"/>
      <c r="K20" s="36"/>
    </row>
    <row r="21" s="11" customFormat="1" customHeight="1" spans="1:11">
      <c r="A21" s="35"/>
      <c r="B21" s="35" t="s">
        <v>104</v>
      </c>
      <c r="C21" s="37"/>
      <c r="D21" s="37"/>
      <c r="E21" s="37"/>
      <c r="F21" s="37"/>
      <c r="G21" s="37"/>
      <c r="H21" s="37"/>
      <c r="I21" s="38"/>
      <c r="J21" s="38"/>
      <c r="K21" s="38"/>
    </row>
    <row r="22" s="11" customFormat="1" customHeight="1" spans="1:11">
      <c r="A22" s="35"/>
      <c r="B22" s="35" t="s">
        <v>105</v>
      </c>
      <c r="C22" s="37"/>
      <c r="D22" s="37"/>
      <c r="E22" s="37"/>
      <c r="F22" s="37"/>
      <c r="G22" s="37"/>
      <c r="H22" s="37"/>
      <c r="I22" s="38"/>
      <c r="J22" s="38"/>
      <c r="K22" s="38"/>
    </row>
    <row r="23" s="11" customFormat="1" customHeight="1" spans="1:11">
      <c r="A23" s="35"/>
      <c r="B23" s="35" t="s">
        <v>106</v>
      </c>
      <c r="C23" s="37"/>
      <c r="D23" s="37"/>
      <c r="E23" s="37"/>
      <c r="F23" s="37"/>
      <c r="G23" s="37"/>
      <c r="H23" s="37"/>
      <c r="I23" s="38"/>
      <c r="J23" s="38"/>
      <c r="K23" s="38"/>
    </row>
    <row r="24" s="111" customFormat="1" spans="1:20">
      <c r="A24" s="123"/>
      <c r="B24" s="124"/>
      <c r="C24" s="125"/>
      <c r="D24" s="126"/>
      <c r="E24" s="127"/>
      <c r="F24" s="127"/>
      <c r="G24" s="127"/>
      <c r="H24" s="127"/>
      <c r="I24" s="127"/>
      <c r="J24" s="127"/>
      <c r="K24" s="127"/>
      <c r="L24" s="127"/>
      <c r="M24" s="127"/>
      <c r="N24" s="11"/>
      <c r="O24" s="127"/>
      <c r="P24" s="127"/>
      <c r="Q24" s="127"/>
      <c r="R24" s="127"/>
      <c r="S24" s="127"/>
      <c r="T24" s="138"/>
    </row>
    <row r="25" s="111" customFormat="1" ht="11.25" spans="1:18">
      <c r="A25" s="127"/>
      <c r="B25" s="124" t="s">
        <v>107</v>
      </c>
      <c r="C25" s="125"/>
      <c r="D25" s="126"/>
      <c r="E25" s="127"/>
      <c r="F25" s="127"/>
      <c r="G25" s="127"/>
      <c r="H25" s="127"/>
      <c r="I25" s="127"/>
      <c r="J25" s="127"/>
      <c r="K25" s="127"/>
      <c r="L25" s="127"/>
      <c r="M25" s="127"/>
      <c r="N25" s="127"/>
      <c r="O25" s="127"/>
      <c r="P25" s="127"/>
      <c r="Q25" s="127"/>
      <c r="R25" s="138"/>
    </row>
    <row r="26" s="111" customFormat="1" ht="11.25" spans="1:18">
      <c r="A26" s="127"/>
      <c r="B26" s="128" t="s">
        <v>133</v>
      </c>
      <c r="C26" s="128"/>
      <c r="D26" s="126"/>
      <c r="E26" s="127"/>
      <c r="F26" s="127"/>
      <c r="G26" s="127"/>
      <c r="H26" s="127"/>
      <c r="I26" s="127"/>
      <c r="J26" s="127"/>
      <c r="K26" s="127"/>
      <c r="L26" s="127"/>
      <c r="M26" s="127"/>
      <c r="N26" s="127"/>
      <c r="O26" s="127"/>
      <c r="P26" s="127"/>
      <c r="Q26" s="127"/>
      <c r="R26" s="138"/>
    </row>
    <row r="27" s="111" customFormat="1" ht="11.25" spans="1:18">
      <c r="A27" s="127"/>
      <c r="B27" s="128" t="s">
        <v>134</v>
      </c>
      <c r="C27" s="128"/>
      <c r="D27" s="126"/>
      <c r="E27" s="127"/>
      <c r="F27" s="127"/>
      <c r="G27" s="127"/>
      <c r="H27" s="127"/>
      <c r="I27" s="127"/>
      <c r="J27" s="127"/>
      <c r="K27" s="127"/>
      <c r="L27" s="127"/>
      <c r="M27" s="127"/>
      <c r="N27" s="127"/>
      <c r="O27" s="127"/>
      <c r="P27" s="127"/>
      <c r="Q27" s="127"/>
      <c r="R27" s="138"/>
    </row>
    <row r="28" spans="2:14">
      <c r="B28" s="128" t="s">
        <v>135</v>
      </c>
      <c r="N28" s="11"/>
    </row>
    <row r="29" spans="2:14">
      <c r="B29" s="129" t="s">
        <v>136</v>
      </c>
      <c r="N29" s="11"/>
    </row>
    <row r="30" spans="14:14">
      <c r="N30" s="11"/>
    </row>
    <row r="31" spans="14:14">
      <c r="N31" s="11"/>
    </row>
    <row r="32" spans="14:14">
      <c r="N32" s="11"/>
    </row>
    <row r="33" spans="14:14">
      <c r="N33" s="11"/>
    </row>
    <row r="34" spans="14:14">
      <c r="N34" s="11"/>
    </row>
    <row r="35" spans="14:14">
      <c r="N35" s="11"/>
    </row>
    <row r="36" spans="14:14">
      <c r="N36" s="11"/>
    </row>
    <row r="37" spans="14:14">
      <c r="N37" s="11"/>
    </row>
  </sheetData>
  <mergeCells count="25"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N3"/>
    <mergeCell ref="O2:O3"/>
    <mergeCell ref="P2:P3"/>
    <mergeCell ref="Q2:Q3"/>
    <mergeCell ref="R2:R3"/>
    <mergeCell ref="S2:S3"/>
    <mergeCell ref="T2:T3"/>
    <mergeCell ref="U2:U3"/>
    <mergeCell ref="V2:V3"/>
    <mergeCell ref="W2:W3"/>
    <mergeCell ref="X2:X3"/>
    <mergeCell ref="Y2:Y3"/>
  </mergeCells>
  <pageMargins left="0.25" right="0.25" top="0.75" bottom="0.75" header="0.511805555555555" footer="0.511805555555555"/>
  <pageSetup paperSize="9" firstPageNumber="0" orientation="landscape" useFirstPageNumber="1" horizontalDpi="300" verticalDpi="300"/>
  <headerFooter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AA28"/>
  <sheetViews>
    <sheetView workbookViewId="0">
      <pane xSplit="5" ySplit="3" topLeftCell="F4" activePane="bottomRight" state="frozen"/>
      <selection/>
      <selection pane="topRight"/>
      <selection pane="bottomLeft"/>
      <selection pane="bottomRight" activeCell="Q4" sqref="Q4"/>
    </sheetView>
  </sheetViews>
  <sheetFormatPr defaultColWidth="9" defaultRowHeight="13.5"/>
  <cols>
    <col min="1" max="1" width="4.5" style="60" customWidth="1"/>
    <col min="2" max="2" width="14" style="60" customWidth="1"/>
    <col min="3" max="3" width="8.88333333333333" style="60" customWidth="1"/>
    <col min="4" max="4" width="8.5" style="61" customWidth="1"/>
    <col min="5" max="5" width="20.5083333333333" style="60" customWidth="1"/>
    <col min="6" max="6" width="8.11666666666667" style="60" customWidth="1"/>
    <col min="7" max="7" width="11.8833333333333" style="60" customWidth="1"/>
    <col min="8" max="8" width="8.61666666666667" style="60" hidden="1" customWidth="1"/>
    <col min="9" max="9" width="8.88333333333333" style="60" hidden="1" customWidth="1"/>
    <col min="10" max="10" width="13.2583333333333" style="60" customWidth="1"/>
    <col min="11" max="11" width="10.1166666666667" style="60" customWidth="1"/>
    <col min="12" max="12" width="8" style="62" customWidth="1"/>
    <col min="13" max="13" width="12.5" style="60" customWidth="1"/>
    <col min="14" max="14" width="10.6166666666667" style="60" customWidth="1"/>
    <col min="15" max="15" width="13.2583333333333" style="60" customWidth="1"/>
    <col min="16" max="16" width="8.25833333333333" style="60" customWidth="1"/>
    <col min="17" max="17" width="13.2583333333333" style="60" customWidth="1"/>
    <col min="18" max="18" width="9.25833333333333" style="60" customWidth="1"/>
    <col min="19" max="19" width="13.2583333333333" style="60" customWidth="1"/>
    <col min="20" max="21" width="9" style="60" customWidth="1"/>
    <col min="22" max="22" width="19.0083333333333" style="63" customWidth="1"/>
    <col min="23" max="23" width="32.9833333333333" style="60" customWidth="1"/>
    <col min="24" max="24" width="8" style="60" customWidth="1"/>
    <col min="25" max="25" width="7.38333333333333" style="60" customWidth="1"/>
    <col min="26" max="26" width="6.25833333333333" style="60" customWidth="1"/>
    <col min="27" max="27" width="6.63333333333333" style="60" customWidth="1"/>
    <col min="28" max="1025" width="9" style="60" customWidth="1"/>
  </cols>
  <sheetData>
    <row r="1" s="57" customFormat="1" ht="29.25" customHeight="1" spans="1:26">
      <c r="A1" s="13" t="s">
        <v>0</v>
      </c>
      <c r="B1" s="64"/>
      <c r="C1" s="65"/>
      <c r="D1" s="66"/>
      <c r="E1" s="60"/>
      <c r="F1" s="60"/>
      <c r="J1" s="84"/>
      <c r="K1" s="85"/>
      <c r="L1" s="86"/>
      <c r="M1" s="84"/>
      <c r="N1" s="84"/>
      <c r="O1" s="84"/>
      <c r="P1" s="84"/>
      <c r="Q1" s="84"/>
      <c r="R1" s="84"/>
      <c r="S1" s="85"/>
      <c r="T1" s="60"/>
      <c r="U1" s="60"/>
      <c r="V1" s="63"/>
      <c r="W1" s="60"/>
      <c r="X1" s="60"/>
      <c r="Y1" s="60"/>
      <c r="Z1" s="60"/>
    </row>
    <row r="2" s="58" customFormat="1" ht="24" customHeight="1" spans="1:27">
      <c r="A2" s="67" t="s">
        <v>2</v>
      </c>
      <c r="B2" s="68" t="s">
        <v>3</v>
      </c>
      <c r="C2" s="68" t="s">
        <v>138</v>
      </c>
      <c r="D2" s="68" t="s">
        <v>139</v>
      </c>
      <c r="E2" s="69" t="s">
        <v>140</v>
      </c>
      <c r="F2" s="70" t="s">
        <v>7</v>
      </c>
      <c r="G2" s="69" t="s">
        <v>8</v>
      </c>
      <c r="H2" s="69" t="s">
        <v>9</v>
      </c>
      <c r="I2" s="69" t="s">
        <v>10</v>
      </c>
      <c r="J2" s="87" t="s">
        <v>141</v>
      </c>
      <c r="K2" s="88" t="s">
        <v>142</v>
      </c>
      <c r="L2" s="89" t="s">
        <v>143</v>
      </c>
      <c r="M2" s="90" t="s">
        <v>115</v>
      </c>
      <c r="N2" s="90" t="s">
        <v>98</v>
      </c>
      <c r="O2" s="91" t="s">
        <v>144</v>
      </c>
      <c r="P2" s="68" t="s">
        <v>31</v>
      </c>
      <c r="Q2" s="91" t="s">
        <v>145</v>
      </c>
      <c r="R2" s="68" t="s">
        <v>33</v>
      </c>
      <c r="S2" s="91" t="s">
        <v>34</v>
      </c>
      <c r="T2" s="69" t="s">
        <v>35</v>
      </c>
      <c r="U2" s="69" t="s">
        <v>36</v>
      </c>
      <c r="V2" s="102" t="s">
        <v>37</v>
      </c>
      <c r="W2" s="69" t="s">
        <v>38</v>
      </c>
      <c r="X2" s="69" t="s">
        <v>39</v>
      </c>
      <c r="Y2" s="70" t="s">
        <v>40</v>
      </c>
      <c r="Z2" s="70" t="s">
        <v>41</v>
      </c>
      <c r="AA2" s="70" t="s">
        <v>42</v>
      </c>
    </row>
    <row r="3" s="58" customFormat="1" ht="24" customHeight="1" spans="1:27">
      <c r="A3" s="67"/>
      <c r="B3" s="68"/>
      <c r="C3" s="68"/>
      <c r="D3" s="68"/>
      <c r="E3" s="69"/>
      <c r="F3" s="70"/>
      <c r="G3" s="69"/>
      <c r="H3" s="69"/>
      <c r="I3" s="69"/>
      <c r="J3" s="87"/>
      <c r="K3" s="88"/>
      <c r="L3" s="89"/>
      <c r="M3" s="90"/>
      <c r="N3" s="90"/>
      <c r="O3" s="91"/>
      <c r="P3" s="68"/>
      <c r="Q3" s="91"/>
      <c r="R3" s="68"/>
      <c r="S3" s="91"/>
      <c r="T3" s="69"/>
      <c r="U3" s="69"/>
      <c r="V3" s="102"/>
      <c r="W3" s="69"/>
      <c r="X3" s="69"/>
      <c r="Y3" s="70"/>
      <c r="Z3" s="70"/>
      <c r="AA3" s="70"/>
    </row>
    <row r="4" s="59" customFormat="1" ht="16.5" customHeight="1" spans="1:27">
      <c r="A4" s="71">
        <v>1</v>
      </c>
      <c r="B4" s="72" t="s">
        <v>117</v>
      </c>
      <c r="C4" s="72" t="s">
        <v>118</v>
      </c>
      <c r="D4" s="73" t="s">
        <v>56</v>
      </c>
      <c r="E4" s="74" t="s">
        <v>119</v>
      </c>
      <c r="F4" s="75" t="str">
        <f t="shared" ref="F4:F13" si="0">IF(MOD(MID(E4,17,1),2)=1,"男","女")</f>
        <v>男</v>
      </c>
      <c r="G4" s="76" t="s">
        <v>146</v>
      </c>
      <c r="H4" s="77" t="s">
        <v>58</v>
      </c>
      <c r="I4" s="77" t="s">
        <v>58</v>
      </c>
      <c r="J4" s="92">
        <v>5000</v>
      </c>
      <c r="K4" s="93">
        <f t="shared" ref="K4:K13" si="1">ROUND(J4/12,2)</f>
        <v>416.67</v>
      </c>
      <c r="L4" s="94">
        <f t="shared" ref="L4:L13" si="2">IF(K4&lt;=0,0,IF(K4&lt;=3000,3%,IF(K4&lt;=12000,10%,IF(K4&lt;=25000,20%,IF(K4&lt;=35000,25%,IF(K4&lt;=55000,30%,IF(K4&lt;=80000,35%,45%)))))))</f>
        <v>0.03</v>
      </c>
      <c r="M4" s="95">
        <f t="shared" ref="M4:M13" si="3">IF(L4=0,0,IF(L4=3%,0,IF(L4=10%,210,IF(L4=20%,1410,IF(L4=25%,2660,IF(L4=30%,4410,IF(L4=35%,7160,15160)))))))</f>
        <v>0</v>
      </c>
      <c r="N4" s="96">
        <f t="shared" ref="N4:N13" si="4">ROUND(J4*L4-M4,2)</f>
        <v>150</v>
      </c>
      <c r="O4" s="97">
        <f t="shared" ref="O4:O13" si="5">J4-N4</f>
        <v>4850</v>
      </c>
      <c r="P4" s="97"/>
      <c r="Q4" s="97">
        <f t="shared" ref="Q4:Q13" si="6">O4+P4</f>
        <v>4850</v>
      </c>
      <c r="R4" s="103">
        <v>50</v>
      </c>
      <c r="S4" s="97">
        <f t="shared" ref="S4:S13" si="7">N4+Q4+R4</f>
        <v>5050</v>
      </c>
      <c r="T4" s="104" t="s">
        <v>147</v>
      </c>
      <c r="U4" s="104" t="s">
        <v>147</v>
      </c>
      <c r="V4" s="105" t="s">
        <v>148</v>
      </c>
      <c r="W4" s="106" t="s">
        <v>149</v>
      </c>
      <c r="X4" s="104" t="s">
        <v>150</v>
      </c>
      <c r="Y4" s="109" t="str">
        <f t="shared" ref="Y4:Y13" si="8"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Z4" s="109" t="str">
        <f>IF(SUMPRODUCT(N(E$1:E$13=E4))&gt;1,"重复","不")</f>
        <v>不</v>
      </c>
      <c r="AA4" s="110" t="str">
        <f>IF(SUMPRODUCT(N(V$1:V$13=V4))&gt;1,"重复","不")</f>
        <v>不</v>
      </c>
    </row>
    <row r="5" s="59" customFormat="1" ht="16.5" customHeight="1" spans="1:27">
      <c r="A5" s="71">
        <v>2</v>
      </c>
      <c r="B5" s="72"/>
      <c r="C5" s="72"/>
      <c r="D5" s="73"/>
      <c r="E5" s="74"/>
      <c r="F5" s="75" t="e">
        <f t="shared" si="0"/>
        <v>#VALUE!</v>
      </c>
      <c r="G5" s="76"/>
      <c r="H5" s="77"/>
      <c r="I5" s="77"/>
      <c r="J5" s="92">
        <v>10000</v>
      </c>
      <c r="K5" s="93">
        <f t="shared" si="1"/>
        <v>833.33</v>
      </c>
      <c r="L5" s="94">
        <f t="shared" si="2"/>
        <v>0.03</v>
      </c>
      <c r="M5" s="95">
        <f t="shared" si="3"/>
        <v>0</v>
      </c>
      <c r="N5" s="96">
        <f t="shared" si="4"/>
        <v>300</v>
      </c>
      <c r="O5" s="97">
        <f t="shared" si="5"/>
        <v>9700</v>
      </c>
      <c r="P5" s="97"/>
      <c r="Q5" s="97">
        <f t="shared" si="6"/>
        <v>9700</v>
      </c>
      <c r="R5" s="103">
        <v>50</v>
      </c>
      <c r="S5" s="97">
        <f t="shared" si="7"/>
        <v>10050</v>
      </c>
      <c r="T5" s="104"/>
      <c r="U5" s="104"/>
      <c r="V5" s="105"/>
      <c r="W5" s="106"/>
      <c r="X5" s="104"/>
      <c r="Y5" s="109" t="str">
        <f t="shared" si="8"/>
        <v>未填写身份证号码</v>
      </c>
      <c r="Z5" s="109" t="str">
        <f>IF(SUMPRODUCT(N(E$1:E$13=E5))&gt;1,"重复","不")</f>
        <v>重复</v>
      </c>
      <c r="AA5" s="110" t="str">
        <f>IF(SUMPRODUCT(N(V$1:V$13=V5))&gt;1,"重复","不")</f>
        <v>重复</v>
      </c>
    </row>
    <row r="6" s="59" customFormat="1" ht="16.5" customHeight="1" spans="1:27">
      <c r="A6" s="71">
        <v>3</v>
      </c>
      <c r="B6" s="72"/>
      <c r="C6" s="72"/>
      <c r="D6" s="73"/>
      <c r="E6" s="74"/>
      <c r="F6" s="75" t="e">
        <f t="shared" si="0"/>
        <v>#VALUE!</v>
      </c>
      <c r="G6" s="76"/>
      <c r="H6" s="77"/>
      <c r="I6" s="77"/>
      <c r="J6" s="92">
        <v>15000</v>
      </c>
      <c r="K6" s="93">
        <f t="shared" si="1"/>
        <v>1250</v>
      </c>
      <c r="L6" s="94">
        <f t="shared" si="2"/>
        <v>0.03</v>
      </c>
      <c r="M6" s="95">
        <f t="shared" si="3"/>
        <v>0</v>
      </c>
      <c r="N6" s="96">
        <f t="shared" si="4"/>
        <v>450</v>
      </c>
      <c r="O6" s="97">
        <f t="shared" si="5"/>
        <v>14550</v>
      </c>
      <c r="P6" s="97"/>
      <c r="Q6" s="97">
        <f t="shared" si="6"/>
        <v>14550</v>
      </c>
      <c r="R6" s="103"/>
      <c r="S6" s="97">
        <f t="shared" si="7"/>
        <v>15000</v>
      </c>
      <c r="T6" s="104"/>
      <c r="U6" s="104"/>
      <c r="V6" s="105"/>
      <c r="W6" s="106"/>
      <c r="X6" s="104"/>
      <c r="Y6" s="109" t="str">
        <f t="shared" si="8"/>
        <v>未填写身份证号码</v>
      </c>
      <c r="Z6" s="109" t="str">
        <f>IF(SUMPRODUCT(N(E$1:E$13=E6))&gt;1,"重复","不")</f>
        <v>重复</v>
      </c>
      <c r="AA6" s="110" t="str">
        <f>IF(SUMPRODUCT(N(V$1:V$13=V6))&gt;1,"重复","不")</f>
        <v>重复</v>
      </c>
    </row>
    <row r="7" s="59" customFormat="1" ht="16.5" customHeight="1" spans="1:27">
      <c r="A7" s="71">
        <v>4</v>
      </c>
      <c r="B7" s="72"/>
      <c r="C7" s="72"/>
      <c r="D7" s="73"/>
      <c r="E7" s="74"/>
      <c r="F7" s="75" t="e">
        <f t="shared" si="0"/>
        <v>#VALUE!</v>
      </c>
      <c r="G7" s="76"/>
      <c r="H7" s="77"/>
      <c r="I7" s="77"/>
      <c r="J7" s="92">
        <v>20000</v>
      </c>
      <c r="K7" s="93">
        <f t="shared" si="1"/>
        <v>1666.67</v>
      </c>
      <c r="L7" s="94">
        <f t="shared" si="2"/>
        <v>0.03</v>
      </c>
      <c r="M7" s="95">
        <f t="shared" si="3"/>
        <v>0</v>
      </c>
      <c r="N7" s="96">
        <f t="shared" si="4"/>
        <v>600</v>
      </c>
      <c r="O7" s="97">
        <f t="shared" si="5"/>
        <v>19400</v>
      </c>
      <c r="P7" s="97"/>
      <c r="Q7" s="97">
        <f t="shared" si="6"/>
        <v>19400</v>
      </c>
      <c r="R7" s="103"/>
      <c r="S7" s="97">
        <f t="shared" si="7"/>
        <v>20000</v>
      </c>
      <c r="T7" s="104"/>
      <c r="U7" s="104"/>
      <c r="V7" s="105"/>
      <c r="W7" s="106"/>
      <c r="X7" s="104"/>
      <c r="Y7" s="109" t="str">
        <f t="shared" si="8"/>
        <v>未填写身份证号码</v>
      </c>
      <c r="Z7" s="109" t="str">
        <f>IF(SUMPRODUCT(N(E$1:E$13=E7))&gt;1,"重复","不")</f>
        <v>重复</v>
      </c>
      <c r="AA7" s="110" t="str">
        <f>IF(SUMPRODUCT(N(V$1:V$13=V7))&gt;1,"重复","不")</f>
        <v>重复</v>
      </c>
    </row>
    <row r="8" s="59" customFormat="1" ht="16.5" customHeight="1" spans="1:27">
      <c r="A8" s="71">
        <v>5</v>
      </c>
      <c r="B8" s="72"/>
      <c r="C8" s="72"/>
      <c r="D8" s="73"/>
      <c r="E8" s="74"/>
      <c r="F8" s="75" t="e">
        <f t="shared" si="0"/>
        <v>#VALUE!</v>
      </c>
      <c r="G8" s="76"/>
      <c r="H8" s="77"/>
      <c r="I8" s="77"/>
      <c r="J8" s="92">
        <v>25000</v>
      </c>
      <c r="K8" s="93">
        <f t="shared" si="1"/>
        <v>2083.33</v>
      </c>
      <c r="L8" s="94">
        <f t="shared" si="2"/>
        <v>0.03</v>
      </c>
      <c r="M8" s="95">
        <f t="shared" si="3"/>
        <v>0</v>
      </c>
      <c r="N8" s="96">
        <f t="shared" si="4"/>
        <v>750</v>
      </c>
      <c r="O8" s="97">
        <f t="shared" si="5"/>
        <v>24250</v>
      </c>
      <c r="P8" s="97"/>
      <c r="Q8" s="97">
        <f t="shared" si="6"/>
        <v>24250</v>
      </c>
      <c r="R8" s="103"/>
      <c r="S8" s="97">
        <f t="shared" si="7"/>
        <v>25000</v>
      </c>
      <c r="T8" s="104"/>
      <c r="U8" s="104"/>
      <c r="V8" s="105"/>
      <c r="W8" s="106"/>
      <c r="X8" s="104"/>
      <c r="Y8" s="109" t="str">
        <f t="shared" si="8"/>
        <v>未填写身份证号码</v>
      </c>
      <c r="Z8" s="109" t="str">
        <f>IF(SUMPRODUCT(N(E$1:E$13=E8))&gt;1,"重复","不")</f>
        <v>重复</v>
      </c>
      <c r="AA8" s="110" t="str">
        <f>IF(SUMPRODUCT(N(V$1:V$13=V8))&gt;1,"重复","不")</f>
        <v>重复</v>
      </c>
    </row>
    <row r="9" s="59" customFormat="1" ht="16.5" customHeight="1" spans="1:27">
      <c r="A9" s="71">
        <v>6</v>
      </c>
      <c r="B9" s="72"/>
      <c r="C9" s="72"/>
      <c r="D9" s="73"/>
      <c r="E9" s="74"/>
      <c r="F9" s="75" t="e">
        <f t="shared" si="0"/>
        <v>#VALUE!</v>
      </c>
      <c r="G9" s="76"/>
      <c r="H9" s="77"/>
      <c r="I9" s="77"/>
      <c r="J9" s="92">
        <v>30000</v>
      </c>
      <c r="K9" s="93">
        <f t="shared" si="1"/>
        <v>2500</v>
      </c>
      <c r="L9" s="94">
        <f t="shared" si="2"/>
        <v>0.03</v>
      </c>
      <c r="M9" s="95">
        <f t="shared" si="3"/>
        <v>0</v>
      </c>
      <c r="N9" s="96">
        <f t="shared" si="4"/>
        <v>900</v>
      </c>
      <c r="O9" s="97">
        <f t="shared" si="5"/>
        <v>29100</v>
      </c>
      <c r="P9" s="97"/>
      <c r="Q9" s="97">
        <f t="shared" si="6"/>
        <v>29100</v>
      </c>
      <c r="R9" s="103"/>
      <c r="S9" s="97">
        <f t="shared" si="7"/>
        <v>30000</v>
      </c>
      <c r="T9" s="104"/>
      <c r="U9" s="104"/>
      <c r="V9" s="105"/>
      <c r="W9" s="106"/>
      <c r="X9" s="104"/>
      <c r="Y9" s="109" t="str">
        <f t="shared" si="8"/>
        <v>未填写身份证号码</v>
      </c>
      <c r="Z9" s="109" t="str">
        <f>IF(SUMPRODUCT(N(E$1:E$13=E9))&gt;1,"重复","不")</f>
        <v>重复</v>
      </c>
      <c r="AA9" s="110" t="str">
        <f>IF(SUMPRODUCT(N(V$1:V$13=V9))&gt;1,"重复","不")</f>
        <v>重复</v>
      </c>
    </row>
    <row r="10" s="59" customFormat="1" ht="16.5" customHeight="1" spans="1:27">
      <c r="A10" s="71">
        <v>7</v>
      </c>
      <c r="B10" s="72"/>
      <c r="C10" s="72"/>
      <c r="D10" s="73"/>
      <c r="E10" s="74"/>
      <c r="F10" s="75" t="e">
        <f t="shared" si="0"/>
        <v>#VALUE!</v>
      </c>
      <c r="G10" s="76"/>
      <c r="H10" s="77"/>
      <c r="I10" s="77"/>
      <c r="J10" s="92">
        <v>50000</v>
      </c>
      <c r="K10" s="93">
        <f t="shared" si="1"/>
        <v>4166.67</v>
      </c>
      <c r="L10" s="94">
        <f t="shared" si="2"/>
        <v>0.1</v>
      </c>
      <c r="M10" s="95">
        <f t="shared" si="3"/>
        <v>210</v>
      </c>
      <c r="N10" s="96">
        <f t="shared" si="4"/>
        <v>4790</v>
      </c>
      <c r="O10" s="97">
        <f t="shared" si="5"/>
        <v>45210</v>
      </c>
      <c r="P10" s="97"/>
      <c r="Q10" s="97">
        <f t="shared" si="6"/>
        <v>45210</v>
      </c>
      <c r="R10" s="103"/>
      <c r="S10" s="97">
        <f t="shared" si="7"/>
        <v>50000</v>
      </c>
      <c r="T10" s="104"/>
      <c r="U10" s="104"/>
      <c r="V10" s="105"/>
      <c r="W10" s="106"/>
      <c r="X10" s="104"/>
      <c r="Y10" s="109" t="str">
        <f t="shared" si="8"/>
        <v>未填写身份证号码</v>
      </c>
      <c r="Z10" s="109" t="str">
        <f>IF(SUMPRODUCT(N(E$1:E$13=E10))&gt;1,"重复","不")</f>
        <v>重复</v>
      </c>
      <c r="AA10" s="110" t="str">
        <f>IF(SUMPRODUCT(N(V$1:V$13=V10))&gt;1,"重复","不")</f>
        <v>重复</v>
      </c>
    </row>
    <row r="11" s="59" customFormat="1" ht="16.5" customHeight="1" spans="1:27">
      <c r="A11" s="71">
        <v>8</v>
      </c>
      <c r="B11" s="72"/>
      <c r="C11" s="72"/>
      <c r="D11" s="73"/>
      <c r="E11" s="74"/>
      <c r="F11" s="75" t="e">
        <f t="shared" si="0"/>
        <v>#VALUE!</v>
      </c>
      <c r="G11" s="76"/>
      <c r="H11" s="77"/>
      <c r="I11" s="77"/>
      <c r="J11" s="92">
        <v>100000</v>
      </c>
      <c r="K11" s="93">
        <f t="shared" si="1"/>
        <v>8333.33</v>
      </c>
      <c r="L11" s="94">
        <f t="shared" si="2"/>
        <v>0.1</v>
      </c>
      <c r="M11" s="95">
        <f t="shared" si="3"/>
        <v>210</v>
      </c>
      <c r="N11" s="96">
        <f t="shared" si="4"/>
        <v>9790</v>
      </c>
      <c r="O11" s="97">
        <f t="shared" si="5"/>
        <v>90210</v>
      </c>
      <c r="P11" s="97"/>
      <c r="Q11" s="97">
        <f t="shared" si="6"/>
        <v>90210</v>
      </c>
      <c r="R11" s="103"/>
      <c r="S11" s="97">
        <f t="shared" si="7"/>
        <v>100000</v>
      </c>
      <c r="T11" s="104"/>
      <c r="U11" s="104"/>
      <c r="V11" s="105"/>
      <c r="W11" s="106"/>
      <c r="X11" s="104"/>
      <c r="Y11" s="109" t="str">
        <f t="shared" si="8"/>
        <v>未填写身份证号码</v>
      </c>
      <c r="Z11" s="109" t="str">
        <f>IF(SUMPRODUCT(N(E$1:E$13=E11))&gt;1,"重复","不")</f>
        <v>重复</v>
      </c>
      <c r="AA11" s="110" t="str">
        <f>IF(SUMPRODUCT(N(V$1:V$13=V11))&gt;1,"重复","不")</f>
        <v>重复</v>
      </c>
    </row>
    <row r="12" s="59" customFormat="1" ht="16.5" customHeight="1" spans="1:27">
      <c r="A12" s="71">
        <v>9</v>
      </c>
      <c r="B12" s="72"/>
      <c r="C12" s="72"/>
      <c r="D12" s="73"/>
      <c r="E12" s="74"/>
      <c r="F12" s="75" t="e">
        <f t="shared" si="0"/>
        <v>#VALUE!</v>
      </c>
      <c r="G12" s="76"/>
      <c r="H12" s="77"/>
      <c r="I12" s="77"/>
      <c r="J12" s="92">
        <v>200000</v>
      </c>
      <c r="K12" s="93">
        <f t="shared" si="1"/>
        <v>16666.67</v>
      </c>
      <c r="L12" s="94">
        <f t="shared" si="2"/>
        <v>0.2</v>
      </c>
      <c r="M12" s="95">
        <f t="shared" si="3"/>
        <v>1410</v>
      </c>
      <c r="N12" s="96">
        <f t="shared" si="4"/>
        <v>38590</v>
      </c>
      <c r="O12" s="97">
        <f t="shared" si="5"/>
        <v>161410</v>
      </c>
      <c r="P12" s="97"/>
      <c r="Q12" s="97">
        <f t="shared" si="6"/>
        <v>161410</v>
      </c>
      <c r="R12" s="103"/>
      <c r="S12" s="97">
        <f t="shared" si="7"/>
        <v>200000</v>
      </c>
      <c r="T12" s="104"/>
      <c r="U12" s="104"/>
      <c r="V12" s="105"/>
      <c r="W12" s="106"/>
      <c r="X12" s="104"/>
      <c r="Y12" s="109" t="str">
        <f t="shared" si="8"/>
        <v>未填写身份证号码</v>
      </c>
      <c r="Z12" s="109" t="str">
        <f>IF(SUMPRODUCT(N(E$1:E$13=E12))&gt;1,"重复","不")</f>
        <v>重复</v>
      </c>
      <c r="AA12" s="110" t="str">
        <f>IF(SUMPRODUCT(N(V$1:V$13=V12))&gt;1,"重复","不")</f>
        <v>重复</v>
      </c>
    </row>
    <row r="13" s="59" customFormat="1" ht="16.5" customHeight="1" spans="1:27">
      <c r="A13" s="71">
        <v>10</v>
      </c>
      <c r="B13" s="72"/>
      <c r="C13" s="72"/>
      <c r="D13" s="73"/>
      <c r="E13" s="74"/>
      <c r="F13" s="75" t="e">
        <f t="shared" si="0"/>
        <v>#VALUE!</v>
      </c>
      <c r="G13" s="76"/>
      <c r="H13" s="77"/>
      <c r="I13" s="77"/>
      <c r="J13" s="92">
        <v>400000</v>
      </c>
      <c r="K13" s="93">
        <f t="shared" si="1"/>
        <v>33333.33</v>
      </c>
      <c r="L13" s="94">
        <f t="shared" si="2"/>
        <v>0.25</v>
      </c>
      <c r="M13" s="95">
        <f t="shared" si="3"/>
        <v>2660</v>
      </c>
      <c r="N13" s="96">
        <f t="shared" si="4"/>
        <v>97340</v>
      </c>
      <c r="O13" s="97">
        <f t="shared" si="5"/>
        <v>302660</v>
      </c>
      <c r="P13" s="97"/>
      <c r="Q13" s="97">
        <f t="shared" si="6"/>
        <v>302660</v>
      </c>
      <c r="R13" s="103"/>
      <c r="S13" s="97">
        <f t="shared" si="7"/>
        <v>400000</v>
      </c>
      <c r="T13" s="104"/>
      <c r="U13" s="104"/>
      <c r="V13" s="105"/>
      <c r="W13" s="106"/>
      <c r="X13" s="104"/>
      <c r="Y13" s="109" t="str">
        <f t="shared" si="8"/>
        <v>未填写身份证号码</v>
      </c>
      <c r="Z13" s="109" t="str">
        <f>IF(SUMPRODUCT(N(E$1:E$13=E13))&gt;1,"重复","不")</f>
        <v>重复</v>
      </c>
      <c r="AA13" s="110" t="str">
        <f>IF(SUMPRODUCT(N(V$1:V$13=V13))&gt;1,"重复","不")</f>
        <v>重复</v>
      </c>
    </row>
    <row r="14" spans="1:27">
      <c r="A14" s="78" t="s">
        <v>97</v>
      </c>
      <c r="B14" s="78"/>
      <c r="C14" s="78"/>
      <c r="D14" s="79"/>
      <c r="E14" s="80"/>
      <c r="F14" s="80"/>
      <c r="G14" s="80"/>
      <c r="H14" s="80"/>
      <c r="I14" s="80"/>
      <c r="J14" s="98">
        <f>SUM(J4:J13)</f>
        <v>855000</v>
      </c>
      <c r="K14" s="98"/>
      <c r="L14" s="99"/>
      <c r="M14" s="100"/>
      <c r="N14" s="100">
        <f t="shared" ref="N14:S14" si="9">SUM(N4:N13)</f>
        <v>153660</v>
      </c>
      <c r="O14" s="98">
        <f t="shared" si="9"/>
        <v>701340</v>
      </c>
      <c r="P14" s="98">
        <f t="shared" si="9"/>
        <v>0</v>
      </c>
      <c r="Q14" s="98">
        <f t="shared" si="9"/>
        <v>701340</v>
      </c>
      <c r="R14" s="98">
        <f t="shared" si="9"/>
        <v>100</v>
      </c>
      <c r="S14" s="98">
        <f t="shared" si="9"/>
        <v>855100</v>
      </c>
      <c r="T14" s="100"/>
      <c r="U14" s="100"/>
      <c r="V14" s="107"/>
      <c r="W14" s="100"/>
      <c r="X14" s="100"/>
      <c r="Y14" s="100"/>
      <c r="Z14" s="100"/>
      <c r="AA14" s="110"/>
    </row>
    <row r="15" ht="15" customHeight="1" spans="1:19">
      <c r="A15" s="81"/>
      <c r="B15" s="81"/>
      <c r="C15" s="82"/>
      <c r="D15" s="83"/>
      <c r="J15" s="82"/>
      <c r="K15" s="82"/>
      <c r="L15" s="101"/>
      <c r="M15" s="82"/>
      <c r="N15" s="82"/>
      <c r="O15" s="82"/>
      <c r="P15" s="82"/>
      <c r="Q15" s="82"/>
      <c r="R15" s="82"/>
      <c r="S15" s="82"/>
    </row>
    <row r="18" s="11" customFormat="1" spans="1:22">
      <c r="A18" s="32" t="s">
        <v>100</v>
      </c>
      <c r="B18" s="33" t="s">
        <v>101</v>
      </c>
      <c r="C18" s="31"/>
      <c r="D18" s="31"/>
      <c r="E18" s="31"/>
      <c r="G18" s="12"/>
      <c r="V18" s="108"/>
    </row>
    <row r="19" s="11" customFormat="1" spans="1:22">
      <c r="A19" s="34"/>
      <c r="B19" s="35" t="s">
        <v>102</v>
      </c>
      <c r="C19" s="31"/>
      <c r="D19" s="31"/>
      <c r="E19" s="31"/>
      <c r="G19" s="12"/>
      <c r="V19" s="108"/>
    </row>
    <row r="20" s="11" customFormat="1" spans="1:22">
      <c r="A20" s="33"/>
      <c r="B20" s="35" t="s">
        <v>123</v>
      </c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V20" s="108"/>
    </row>
    <row r="21" s="11" customFormat="1" customHeight="1" spans="1:22">
      <c r="A21" s="35"/>
      <c r="B21" s="35" t="s">
        <v>104</v>
      </c>
      <c r="C21" s="37"/>
      <c r="D21" s="37"/>
      <c r="E21" s="37"/>
      <c r="F21" s="37"/>
      <c r="G21" s="37"/>
      <c r="H21" s="37"/>
      <c r="I21" s="38"/>
      <c r="J21" s="38"/>
      <c r="K21" s="38"/>
      <c r="L21" s="38"/>
      <c r="M21" s="38"/>
      <c r="N21" s="38"/>
      <c r="V21" s="108"/>
    </row>
    <row r="22" s="11" customFormat="1" customHeight="1" spans="1:22">
      <c r="A22" s="35"/>
      <c r="B22" s="35" t="s">
        <v>105</v>
      </c>
      <c r="C22" s="37"/>
      <c r="D22" s="37"/>
      <c r="E22" s="37"/>
      <c r="F22" s="37"/>
      <c r="G22" s="37"/>
      <c r="H22" s="37"/>
      <c r="I22" s="37"/>
      <c r="J22" s="38"/>
      <c r="K22" s="38"/>
      <c r="L22" s="38"/>
      <c r="M22" s="38"/>
      <c r="N22" s="38"/>
      <c r="V22" s="108"/>
    </row>
    <row r="23" s="11" customFormat="1" customHeight="1" spans="1:22">
      <c r="A23" s="35"/>
      <c r="B23" s="35" t="s">
        <v>106</v>
      </c>
      <c r="C23" s="37"/>
      <c r="D23" s="37"/>
      <c r="E23" s="37"/>
      <c r="F23" s="37"/>
      <c r="G23" s="37"/>
      <c r="H23" s="37"/>
      <c r="I23" s="38"/>
      <c r="J23" s="38"/>
      <c r="K23" s="38"/>
      <c r="L23" s="38"/>
      <c r="M23" s="38"/>
      <c r="N23" s="38"/>
      <c r="V23" s="108"/>
    </row>
    <row r="24" s="11" customFormat="1" customHeight="1" spans="1:22">
      <c r="A24" s="35"/>
      <c r="C24" s="37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V24" s="108"/>
    </row>
    <row r="25" s="11" customFormat="1" customHeight="1" spans="1:22">
      <c r="A25" s="35"/>
      <c r="B25" s="33" t="s">
        <v>107</v>
      </c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V25" s="108"/>
    </row>
    <row r="26" s="11" customFormat="1" customHeight="1" spans="1:22">
      <c r="A26" s="35"/>
      <c r="B26" s="35" t="s">
        <v>151</v>
      </c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V26" s="108"/>
    </row>
    <row r="27" s="11" customFormat="1" spans="2:22">
      <c r="B27" s="35" t="s">
        <v>152</v>
      </c>
      <c r="G27" s="12"/>
      <c r="V27" s="108"/>
    </row>
    <row r="28" s="11" customFormat="1" spans="2:22">
      <c r="B28" s="35" t="s">
        <v>153</v>
      </c>
      <c r="G28" s="12"/>
      <c r="V28" s="108"/>
    </row>
  </sheetData>
  <mergeCells count="27"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N3"/>
    <mergeCell ref="O2:O3"/>
    <mergeCell ref="P2:P3"/>
    <mergeCell ref="Q2:Q3"/>
    <mergeCell ref="R2:R3"/>
    <mergeCell ref="S2:S3"/>
    <mergeCell ref="T2:T3"/>
    <mergeCell ref="U2:U3"/>
    <mergeCell ref="V2:V3"/>
    <mergeCell ref="W2:W3"/>
    <mergeCell ref="X2:X3"/>
    <mergeCell ref="Y2:Y3"/>
    <mergeCell ref="Z2:Z3"/>
    <mergeCell ref="AA2:AA3"/>
  </mergeCells>
  <pageMargins left="0.25" right="0.25" top="0.75" bottom="0.75" header="0.511805555555555" footer="0.511805555555555"/>
  <pageSetup paperSize="9" firstPageNumber="0" orientation="landscape" useFirstPageNumber="1" horizontalDpi="300" verticalDpi="3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</sheetPr>
  <dimension ref="A1:AM36"/>
  <sheetViews>
    <sheetView workbookViewId="0">
      <pane xSplit="9" ySplit="2" topLeftCell="J3" activePane="bottomRight" state="frozen"/>
      <selection/>
      <selection pane="topRight"/>
      <selection pane="bottomLeft"/>
      <selection pane="bottomRight" activeCell="I21" sqref="I21"/>
    </sheetView>
  </sheetViews>
  <sheetFormatPr defaultColWidth="9" defaultRowHeight="13.5"/>
  <cols>
    <col min="1" max="1" width="5.86666666666667" customWidth="1"/>
    <col min="2" max="2" width="12.8833333333333" customWidth="1"/>
    <col min="3" max="4" width="9" customWidth="1"/>
    <col min="5" max="5" width="14.1166666666667" customWidth="1"/>
    <col min="6" max="6" width="11" customWidth="1"/>
    <col min="7" max="7" width="7.61666666666667" customWidth="1"/>
    <col min="8" max="8" width="9.38333333333333" customWidth="1"/>
    <col min="9" max="9" width="17" customWidth="1"/>
    <col min="10" max="10" width="5" customWidth="1"/>
    <col min="11" max="11" width="4.75833333333333" customWidth="1"/>
    <col min="12" max="12" width="10" customWidth="1"/>
    <col min="13" max="13" width="8" customWidth="1"/>
    <col min="14" max="14" width="9.5" customWidth="1"/>
    <col min="15" max="15" width="10.5" customWidth="1"/>
    <col min="16" max="16" width="11.8833333333333" customWidth="1"/>
    <col min="17" max="17" width="9.75833333333333" customWidth="1"/>
    <col min="18" max="18" width="9.5" customWidth="1"/>
    <col min="19" max="19" width="9" customWidth="1"/>
    <col min="20" max="20" width="10.3833333333333" customWidth="1"/>
    <col min="21" max="21" width="11.5"/>
    <col min="22" max="22" width="11.3833333333333" customWidth="1"/>
    <col min="23" max="23" width="12.2583333333333" customWidth="1"/>
    <col min="24" max="24" width="7.75833333333333" customWidth="1"/>
    <col min="25" max="26" width="10.3833333333333" customWidth="1"/>
    <col min="27" max="27" width="11.5"/>
    <col min="28" max="28" width="9" customWidth="1"/>
    <col min="29" max="29" width="11.5"/>
    <col min="30" max="30" width="7" customWidth="1"/>
    <col min="31" max="31" width="11.5"/>
    <col min="32" max="32" width="7.61666666666667" customWidth="1"/>
    <col min="33" max="33" width="8.38333333333333" customWidth="1"/>
    <col min="34" max="34" width="19.0083333333333" customWidth="1"/>
    <col min="35" max="35" width="32.9833333333333" customWidth="1"/>
    <col min="36" max="36" width="8" customWidth="1"/>
    <col min="37" max="37" width="15" customWidth="1"/>
    <col min="38" max="38" width="7.88333333333333" customWidth="1"/>
    <col min="39" max="39" width="8.25833333333333" customWidth="1"/>
    <col min="40" max="1025" width="9" customWidth="1"/>
  </cols>
  <sheetData>
    <row r="1" ht="28.5" customHeight="1" spans="1:1">
      <c r="A1" s="13" t="s">
        <v>0</v>
      </c>
    </row>
    <row r="2" s="10" customFormat="1" ht="24.75" customHeight="1" spans="1:39">
      <c r="A2" s="14" t="s">
        <v>2</v>
      </c>
      <c r="B2" s="15" t="s">
        <v>3</v>
      </c>
      <c r="C2" s="16" t="s">
        <v>4</v>
      </c>
      <c r="D2" s="17" t="s">
        <v>5</v>
      </c>
      <c r="E2" s="18" t="s">
        <v>154</v>
      </c>
      <c r="F2" s="18" t="s">
        <v>155</v>
      </c>
      <c r="G2" s="18" t="s">
        <v>7</v>
      </c>
      <c r="H2" s="18" t="s">
        <v>156</v>
      </c>
      <c r="I2" s="18" t="s">
        <v>8</v>
      </c>
      <c r="J2" s="18" t="s">
        <v>9</v>
      </c>
      <c r="K2" s="18" t="s">
        <v>10</v>
      </c>
      <c r="L2" s="18" t="s">
        <v>157</v>
      </c>
      <c r="M2" s="18" t="s">
        <v>158</v>
      </c>
      <c r="N2" s="18" t="s">
        <v>159</v>
      </c>
      <c r="O2" s="18" t="s">
        <v>160</v>
      </c>
      <c r="P2" s="39" t="s">
        <v>13</v>
      </c>
      <c r="Q2" s="39" t="s">
        <v>161</v>
      </c>
      <c r="R2" s="39" t="s">
        <v>162</v>
      </c>
      <c r="S2" s="39" t="s">
        <v>163</v>
      </c>
      <c r="T2" s="43" t="s">
        <v>164</v>
      </c>
      <c r="U2" s="43" t="s">
        <v>165</v>
      </c>
      <c r="V2" s="44" t="s">
        <v>112</v>
      </c>
      <c r="W2" s="44" t="s">
        <v>113</v>
      </c>
      <c r="X2" s="45" t="s">
        <v>114</v>
      </c>
      <c r="Y2" s="44" t="s">
        <v>115</v>
      </c>
      <c r="Z2" s="44" t="s">
        <v>98</v>
      </c>
      <c r="AA2" s="43" t="s">
        <v>30</v>
      </c>
      <c r="AB2" s="39" t="s">
        <v>31</v>
      </c>
      <c r="AC2" s="43" t="s">
        <v>32</v>
      </c>
      <c r="AD2" s="39" t="s">
        <v>33</v>
      </c>
      <c r="AE2" s="43" t="s">
        <v>34</v>
      </c>
      <c r="AF2" s="39" t="s">
        <v>35</v>
      </c>
      <c r="AG2" s="39" t="s">
        <v>36</v>
      </c>
      <c r="AH2" s="54" t="s">
        <v>37</v>
      </c>
      <c r="AI2" s="39" t="s">
        <v>38</v>
      </c>
      <c r="AJ2" s="39" t="s">
        <v>39</v>
      </c>
      <c r="AK2" s="55" t="s">
        <v>40</v>
      </c>
      <c r="AL2" s="55" t="s">
        <v>41</v>
      </c>
      <c r="AM2" s="55" t="s">
        <v>42</v>
      </c>
    </row>
    <row r="3" s="11" customFormat="1" ht="15.75" customHeight="1" spans="1:39">
      <c r="A3" s="19">
        <v>1</v>
      </c>
      <c r="B3" s="20" t="s">
        <v>166</v>
      </c>
      <c r="C3" s="20" t="s">
        <v>118</v>
      </c>
      <c r="D3" s="21" t="s">
        <v>167</v>
      </c>
      <c r="E3" s="22">
        <v>5009146</v>
      </c>
      <c r="F3" s="23" t="s">
        <v>168</v>
      </c>
      <c r="G3" s="24" t="s">
        <v>169</v>
      </c>
      <c r="H3" s="24" t="s">
        <v>170</v>
      </c>
      <c r="I3" s="22" t="s">
        <v>146</v>
      </c>
      <c r="J3" s="23" t="s">
        <v>58</v>
      </c>
      <c r="K3" s="23" t="s">
        <v>58</v>
      </c>
      <c r="L3" s="40">
        <v>43446</v>
      </c>
      <c r="M3" s="23" t="s">
        <v>168</v>
      </c>
      <c r="N3" s="40">
        <v>40179</v>
      </c>
      <c r="O3" s="40">
        <v>43871</v>
      </c>
      <c r="P3" s="41">
        <v>15000</v>
      </c>
      <c r="Q3" s="46">
        <v>500</v>
      </c>
      <c r="R3" s="46">
        <v>300</v>
      </c>
      <c r="S3" s="46">
        <v>1000</v>
      </c>
      <c r="T3" s="47">
        <f t="shared" ref="T3:T12" si="0">ROUND((P3+Q3+R3+S3),2)</f>
        <v>16800</v>
      </c>
      <c r="U3" s="48">
        <f t="shared" ref="U3:U12" si="1">ROUND((P3+Q3*0.8+(R3*0.8)*0.7+S3*0.8),2)</f>
        <v>16368</v>
      </c>
      <c r="V3" s="49">
        <v>5000</v>
      </c>
      <c r="W3" s="49">
        <f t="shared" ref="W3:W12" si="2">IF((U3-V3)&gt;0,U3-V3,0)</f>
        <v>11368</v>
      </c>
      <c r="X3" s="50">
        <f t="shared" ref="X3:X12" si="3">IF(W3&lt;=0,0,IF(W3&lt;3000,3%,IF(W3&lt;12000,10%,IF(W3&lt;25000,20%,IF(W3&lt;35000,25%,IF(W3&lt;55000,30%,IF(W3&lt;=80000,35%,IF(W3&gt;80000,45%,))))))))*100</f>
        <v>10</v>
      </c>
      <c r="Y3" s="51">
        <f t="shared" ref="Y3:Y12" si="4">IF(W3&gt;=3000,IF(W3&gt;=12000,IF(W3&gt;=25000,IF(W3&gt;=35000,IF(W3&gt;=55000,IF(W3&gt;=80000,15160,7160),4410),2660),1410),210),0)</f>
        <v>210</v>
      </c>
      <c r="Z3" s="51">
        <f t="shared" ref="Z3:Z12" si="5">ROUND(W3*X3*0.01,2)-Y3</f>
        <v>926.8</v>
      </c>
      <c r="AA3" s="52">
        <f t="shared" ref="AA3:AA12" si="6">T3-Z3</f>
        <v>15873.2</v>
      </c>
      <c r="AB3" s="53"/>
      <c r="AC3" s="52">
        <f t="shared" ref="AC3:AC12" si="7">AA3+AB3</f>
        <v>15873.2</v>
      </c>
      <c r="AD3" s="53"/>
      <c r="AE3" s="52">
        <f t="shared" ref="AE3:AE12" si="8">AC3+AD3+Z3</f>
        <v>16800</v>
      </c>
      <c r="AF3" s="53" t="s">
        <v>147</v>
      </c>
      <c r="AG3" s="53" t="s">
        <v>147</v>
      </c>
      <c r="AH3" s="53" t="s">
        <v>171</v>
      </c>
      <c r="AI3" s="53" t="s">
        <v>149</v>
      </c>
      <c r="AJ3" s="53" t="s">
        <v>150</v>
      </c>
      <c r="AK3" s="56" t="str">
        <f t="shared" ref="AK3:AK12" si="9">IF(LEN(E3)=18,IF(RIGHT(E3,1)="X",IF(CHOOSE(MOD(SUM(LEFT(RIGHT(E3,18))*7+LEFT(RIGHT(E3,17))*9+LEFT(RIGHT(E3,16))*10+LEFT(RIGHT(E3,15))*5+LEFT(RIGHT(E3,14))*8+LEFT(RIGHT(E3,13))*4+LEFT(RIGHT(E3,12))*2+LEFT(RIGHT(E3,11))*1+LEFT(RIGHT(E3,10))*6+LEFT(RIGHT(E3,9))*3+LEFT(RIGHT(E3,8))*7+LEFT(RIGHT(E3,7))*9+LEFT(RIGHT(E3,6))*10+LEFT(RIGHT(E3,5))*5+LEFT(RIGHT(E3,4))*8+LEFT(RIGHT(E3,3))*4+LEFT(RIGHT(E3,2))*2),11)+1,1,0,"X",9,8,7,6,5,4,3,2)=LEFT(RIGHT(E3,1)),"正确","错误"),IF(CHOOSE(MOD(SUM(LEFT(RIGHT(E3,18))*7+LEFT(RIGHT(E3,17))*9+LEFT(RIGHT(E3,16))*10+LEFT(RIGHT(E3,15))*5+LEFT(RIGHT(E3,14))*8+LEFT(RIGHT(E3,13))*4+LEFT(RIGHT(E3,12))*2+LEFT(RIGHT(E3,11))*1+LEFT(RIGHT(E3,10))*6+LEFT(RIGHT(E3,9))*3+LEFT(RIGHT(E3,8))*7+LEFT(RIGHT(E3,7))*9+LEFT(RIGHT(E3,6))*10+LEFT(RIGHT(E3,5))*5+LEFT(RIGHT(E3,4))*8+LEFT(RIGHT(E3,3))*4+LEFT(RIGHT(E3,2))*2),11)+1,1,0,"X",9,8,7,6,5,4,3,2)=LEFT(RIGHT(E3,1))*1,"正确","错误")),IF(LEN(E3)=15,"老号，请注意！",IF(LEN(E3)=0,"未填写身份证号码","位数不对！")))</f>
        <v>位数不对！</v>
      </c>
      <c r="AL3" s="56" t="str">
        <f>IF(SUMPRODUCT(N(E$2:E$12=E3))&gt;1,"重复","不")</f>
        <v>不</v>
      </c>
      <c r="AM3" s="56" t="str">
        <f>IF(SUMPRODUCT(N(AH$2:AH$12=AH3))&gt;1,"重复","不")</f>
        <v>不</v>
      </c>
    </row>
    <row r="4" s="11" customFormat="1" ht="15.75" customHeight="1" spans="1:39">
      <c r="A4" s="19">
        <v>2</v>
      </c>
      <c r="B4" s="20"/>
      <c r="C4" s="20"/>
      <c r="D4" s="21" t="s">
        <v>167</v>
      </c>
      <c r="E4" s="22"/>
      <c r="F4" s="23" t="s">
        <v>172</v>
      </c>
      <c r="G4" s="24"/>
      <c r="H4" s="24"/>
      <c r="I4" s="22"/>
      <c r="J4" s="23" t="s">
        <v>58</v>
      </c>
      <c r="K4" s="23" t="s">
        <v>58</v>
      </c>
      <c r="L4" s="23"/>
      <c r="M4" s="23" t="s">
        <v>172</v>
      </c>
      <c r="N4" s="23"/>
      <c r="O4" s="23"/>
      <c r="P4" s="41"/>
      <c r="Q4" s="46"/>
      <c r="R4" s="46"/>
      <c r="S4" s="46"/>
      <c r="T4" s="47">
        <f t="shared" si="0"/>
        <v>0</v>
      </c>
      <c r="U4" s="48">
        <f t="shared" si="1"/>
        <v>0</v>
      </c>
      <c r="V4" s="49">
        <v>5000</v>
      </c>
      <c r="W4" s="49">
        <f t="shared" si="2"/>
        <v>0</v>
      </c>
      <c r="X4" s="50">
        <f t="shared" si="3"/>
        <v>0</v>
      </c>
      <c r="Y4" s="51">
        <f t="shared" si="4"/>
        <v>0</v>
      </c>
      <c r="Z4" s="51">
        <f t="shared" si="5"/>
        <v>0</v>
      </c>
      <c r="AA4" s="52">
        <f t="shared" si="6"/>
        <v>0</v>
      </c>
      <c r="AB4" s="53"/>
      <c r="AC4" s="52">
        <f t="shared" si="7"/>
        <v>0</v>
      </c>
      <c r="AD4" s="53"/>
      <c r="AE4" s="52">
        <f t="shared" si="8"/>
        <v>0</v>
      </c>
      <c r="AF4" s="53"/>
      <c r="AG4" s="53"/>
      <c r="AH4" s="53"/>
      <c r="AI4" s="53"/>
      <c r="AJ4" s="53"/>
      <c r="AK4" s="56" t="str">
        <f t="shared" si="9"/>
        <v>未填写身份证号码</v>
      </c>
      <c r="AL4" s="56" t="str">
        <f>IF(SUMPRODUCT(N(E$2:E$12=E4))&gt;1,"重复","不")</f>
        <v>重复</v>
      </c>
      <c r="AM4" s="56" t="str">
        <f>IF(SUMPRODUCT(N(AH$2:AH$12=AH4))&gt;1,"重复","不")</f>
        <v>重复</v>
      </c>
    </row>
    <row r="5" s="11" customFormat="1" ht="15.75" customHeight="1" spans="1:39">
      <c r="A5" s="19">
        <v>3</v>
      </c>
      <c r="B5" s="20"/>
      <c r="C5" s="20"/>
      <c r="D5" s="21" t="s">
        <v>173</v>
      </c>
      <c r="E5" s="22"/>
      <c r="F5" s="23" t="s">
        <v>174</v>
      </c>
      <c r="G5" s="24"/>
      <c r="H5" s="24"/>
      <c r="I5" s="22"/>
      <c r="J5" s="23" t="s">
        <v>58</v>
      </c>
      <c r="K5" s="23" t="s">
        <v>58</v>
      </c>
      <c r="L5" s="23"/>
      <c r="M5" s="23" t="s">
        <v>174</v>
      </c>
      <c r="N5" s="23"/>
      <c r="O5" s="23"/>
      <c r="P5" s="41"/>
      <c r="Q5" s="46"/>
      <c r="R5" s="46"/>
      <c r="S5" s="46"/>
      <c r="T5" s="47">
        <f t="shared" si="0"/>
        <v>0</v>
      </c>
      <c r="U5" s="48">
        <f t="shared" si="1"/>
        <v>0</v>
      </c>
      <c r="V5" s="49">
        <v>5000</v>
      </c>
      <c r="W5" s="49">
        <f t="shared" si="2"/>
        <v>0</v>
      </c>
      <c r="X5" s="50">
        <f t="shared" si="3"/>
        <v>0</v>
      </c>
      <c r="Y5" s="51">
        <f t="shared" si="4"/>
        <v>0</v>
      </c>
      <c r="Z5" s="51">
        <f t="shared" si="5"/>
        <v>0</v>
      </c>
      <c r="AA5" s="52">
        <f t="shared" si="6"/>
        <v>0</v>
      </c>
      <c r="AB5" s="53"/>
      <c r="AC5" s="52">
        <f t="shared" si="7"/>
        <v>0</v>
      </c>
      <c r="AD5" s="53"/>
      <c r="AE5" s="52">
        <f t="shared" si="8"/>
        <v>0</v>
      </c>
      <c r="AF5" s="53"/>
      <c r="AG5" s="53"/>
      <c r="AH5" s="53"/>
      <c r="AI5" s="53"/>
      <c r="AJ5" s="53"/>
      <c r="AK5" s="56" t="str">
        <f t="shared" si="9"/>
        <v>未填写身份证号码</v>
      </c>
      <c r="AL5" s="56" t="str">
        <f>IF(SUMPRODUCT(N(E$2:E$12=E5))&gt;1,"重复","不")</f>
        <v>重复</v>
      </c>
      <c r="AM5" s="56" t="str">
        <f>IF(SUMPRODUCT(N(AH$2:AH$12=AH5))&gt;1,"重复","不")</f>
        <v>重复</v>
      </c>
    </row>
    <row r="6" s="11" customFormat="1" ht="15.75" customHeight="1" spans="1:39">
      <c r="A6" s="19">
        <v>4</v>
      </c>
      <c r="B6" s="20"/>
      <c r="C6" s="20"/>
      <c r="D6" s="21" t="s">
        <v>173</v>
      </c>
      <c r="E6" s="22"/>
      <c r="F6" s="23"/>
      <c r="G6" s="24"/>
      <c r="H6" s="24"/>
      <c r="I6" s="22"/>
      <c r="J6" s="23" t="s">
        <v>58</v>
      </c>
      <c r="K6" s="23" t="s">
        <v>58</v>
      </c>
      <c r="L6" s="23"/>
      <c r="M6" s="23"/>
      <c r="N6" s="23"/>
      <c r="O6" s="23"/>
      <c r="P6" s="41"/>
      <c r="Q6" s="46"/>
      <c r="R6" s="46"/>
      <c r="S6" s="46"/>
      <c r="T6" s="47">
        <f t="shared" si="0"/>
        <v>0</v>
      </c>
      <c r="U6" s="48">
        <f t="shared" si="1"/>
        <v>0</v>
      </c>
      <c r="V6" s="49">
        <v>5000</v>
      </c>
      <c r="W6" s="49">
        <f t="shared" si="2"/>
        <v>0</v>
      </c>
      <c r="X6" s="50">
        <f t="shared" si="3"/>
        <v>0</v>
      </c>
      <c r="Y6" s="51">
        <f t="shared" si="4"/>
        <v>0</v>
      </c>
      <c r="Z6" s="51">
        <f t="shared" si="5"/>
        <v>0</v>
      </c>
      <c r="AA6" s="52">
        <f t="shared" si="6"/>
        <v>0</v>
      </c>
      <c r="AB6" s="53"/>
      <c r="AC6" s="52">
        <f t="shared" si="7"/>
        <v>0</v>
      </c>
      <c r="AD6" s="53"/>
      <c r="AE6" s="52">
        <f t="shared" si="8"/>
        <v>0</v>
      </c>
      <c r="AF6" s="53"/>
      <c r="AG6" s="53"/>
      <c r="AH6" s="53"/>
      <c r="AI6" s="53"/>
      <c r="AJ6" s="53"/>
      <c r="AK6" s="56" t="str">
        <f t="shared" si="9"/>
        <v>未填写身份证号码</v>
      </c>
      <c r="AL6" s="56" t="str">
        <f>IF(SUMPRODUCT(N(E$2:E$12=E6))&gt;1,"重复","不")</f>
        <v>重复</v>
      </c>
      <c r="AM6" s="56" t="str">
        <f>IF(SUMPRODUCT(N(AH$2:AH$12=AH6))&gt;1,"重复","不")</f>
        <v>重复</v>
      </c>
    </row>
    <row r="7" s="11" customFormat="1" ht="15.75" customHeight="1" spans="1:39">
      <c r="A7" s="19">
        <v>5</v>
      </c>
      <c r="B7" s="20"/>
      <c r="C7" s="20"/>
      <c r="D7" s="21" t="s">
        <v>173</v>
      </c>
      <c r="E7" s="22"/>
      <c r="F7" s="23"/>
      <c r="G7" s="24"/>
      <c r="H7" s="24"/>
      <c r="I7" s="22"/>
      <c r="J7" s="23" t="s">
        <v>58</v>
      </c>
      <c r="K7" s="23" t="s">
        <v>58</v>
      </c>
      <c r="L7" s="23"/>
      <c r="M7" s="23"/>
      <c r="N7" s="23"/>
      <c r="O7" s="23"/>
      <c r="P7" s="41"/>
      <c r="Q7" s="46"/>
      <c r="R7" s="46"/>
      <c r="S7" s="46"/>
      <c r="T7" s="47">
        <f t="shared" si="0"/>
        <v>0</v>
      </c>
      <c r="U7" s="48">
        <f t="shared" si="1"/>
        <v>0</v>
      </c>
      <c r="V7" s="49">
        <v>5000</v>
      </c>
      <c r="W7" s="49">
        <f t="shared" si="2"/>
        <v>0</v>
      </c>
      <c r="X7" s="50">
        <f t="shared" si="3"/>
        <v>0</v>
      </c>
      <c r="Y7" s="51">
        <f t="shared" si="4"/>
        <v>0</v>
      </c>
      <c r="Z7" s="51">
        <f t="shared" si="5"/>
        <v>0</v>
      </c>
      <c r="AA7" s="52">
        <f t="shared" si="6"/>
        <v>0</v>
      </c>
      <c r="AB7" s="53"/>
      <c r="AC7" s="52">
        <f t="shared" si="7"/>
        <v>0</v>
      </c>
      <c r="AD7" s="53"/>
      <c r="AE7" s="52">
        <f t="shared" si="8"/>
        <v>0</v>
      </c>
      <c r="AF7" s="53"/>
      <c r="AG7" s="53"/>
      <c r="AH7" s="53"/>
      <c r="AI7" s="53"/>
      <c r="AJ7" s="53"/>
      <c r="AK7" s="56" t="str">
        <f t="shared" si="9"/>
        <v>未填写身份证号码</v>
      </c>
      <c r="AL7" s="56" t="str">
        <f>IF(SUMPRODUCT(N(E$2:E$12=E7))&gt;1,"重复","不")</f>
        <v>重复</v>
      </c>
      <c r="AM7" s="56" t="str">
        <f>IF(SUMPRODUCT(N(AH$2:AH$12=AH7))&gt;1,"重复","不")</f>
        <v>重复</v>
      </c>
    </row>
    <row r="8" s="11" customFormat="1" ht="15.75" customHeight="1" spans="1:39">
      <c r="A8" s="19">
        <v>6</v>
      </c>
      <c r="B8" s="20"/>
      <c r="C8" s="20"/>
      <c r="D8" s="21" t="s">
        <v>173</v>
      </c>
      <c r="E8" s="22"/>
      <c r="F8" s="23"/>
      <c r="G8" s="24"/>
      <c r="H8" s="24"/>
      <c r="I8" s="22"/>
      <c r="J8" s="23" t="s">
        <v>58</v>
      </c>
      <c r="K8" s="23" t="s">
        <v>58</v>
      </c>
      <c r="L8" s="23"/>
      <c r="M8" s="23"/>
      <c r="N8" s="23"/>
      <c r="O8" s="23"/>
      <c r="P8" s="41"/>
      <c r="Q8" s="46"/>
      <c r="R8" s="46"/>
      <c r="S8" s="46"/>
      <c r="T8" s="47">
        <f t="shared" si="0"/>
        <v>0</v>
      </c>
      <c r="U8" s="48">
        <f t="shared" si="1"/>
        <v>0</v>
      </c>
      <c r="V8" s="49">
        <v>5000</v>
      </c>
      <c r="W8" s="49">
        <f t="shared" si="2"/>
        <v>0</v>
      </c>
      <c r="X8" s="50">
        <f t="shared" si="3"/>
        <v>0</v>
      </c>
      <c r="Y8" s="51">
        <f t="shared" si="4"/>
        <v>0</v>
      </c>
      <c r="Z8" s="51">
        <f t="shared" si="5"/>
        <v>0</v>
      </c>
      <c r="AA8" s="52">
        <f t="shared" si="6"/>
        <v>0</v>
      </c>
      <c r="AB8" s="53"/>
      <c r="AC8" s="52">
        <f t="shared" si="7"/>
        <v>0</v>
      </c>
      <c r="AD8" s="53"/>
      <c r="AE8" s="52">
        <f t="shared" si="8"/>
        <v>0</v>
      </c>
      <c r="AF8" s="53"/>
      <c r="AG8" s="53"/>
      <c r="AH8" s="53"/>
      <c r="AI8" s="53"/>
      <c r="AJ8" s="53"/>
      <c r="AK8" s="56" t="str">
        <f t="shared" si="9"/>
        <v>未填写身份证号码</v>
      </c>
      <c r="AL8" s="56" t="str">
        <f>IF(SUMPRODUCT(N(E$2:E$12=E8))&gt;1,"重复","不")</f>
        <v>重复</v>
      </c>
      <c r="AM8" s="56" t="str">
        <f>IF(SUMPRODUCT(N(AH$2:AH$12=AH8))&gt;1,"重复","不")</f>
        <v>重复</v>
      </c>
    </row>
    <row r="9" s="11" customFormat="1" ht="15.75" customHeight="1" spans="1:39">
      <c r="A9" s="19">
        <v>7</v>
      </c>
      <c r="B9" s="20"/>
      <c r="C9" s="20"/>
      <c r="D9" s="21" t="s">
        <v>173</v>
      </c>
      <c r="E9" s="22"/>
      <c r="F9" s="23"/>
      <c r="G9" s="24"/>
      <c r="H9" s="24"/>
      <c r="I9" s="22"/>
      <c r="J9" s="23" t="s">
        <v>58</v>
      </c>
      <c r="K9" s="23" t="s">
        <v>58</v>
      </c>
      <c r="L9" s="23"/>
      <c r="M9" s="23"/>
      <c r="N9" s="23"/>
      <c r="O9" s="23"/>
      <c r="P9" s="41"/>
      <c r="Q9" s="46"/>
      <c r="R9" s="46"/>
      <c r="S9" s="46"/>
      <c r="T9" s="47">
        <f t="shared" si="0"/>
        <v>0</v>
      </c>
      <c r="U9" s="48">
        <f t="shared" si="1"/>
        <v>0</v>
      </c>
      <c r="V9" s="49">
        <v>5000</v>
      </c>
      <c r="W9" s="49">
        <f t="shared" si="2"/>
        <v>0</v>
      </c>
      <c r="X9" s="50">
        <f t="shared" si="3"/>
        <v>0</v>
      </c>
      <c r="Y9" s="51">
        <f t="shared" si="4"/>
        <v>0</v>
      </c>
      <c r="Z9" s="51">
        <f t="shared" si="5"/>
        <v>0</v>
      </c>
      <c r="AA9" s="52">
        <f t="shared" si="6"/>
        <v>0</v>
      </c>
      <c r="AB9" s="53"/>
      <c r="AC9" s="52">
        <f t="shared" si="7"/>
        <v>0</v>
      </c>
      <c r="AD9" s="53"/>
      <c r="AE9" s="52">
        <f t="shared" si="8"/>
        <v>0</v>
      </c>
      <c r="AF9" s="53"/>
      <c r="AG9" s="53"/>
      <c r="AH9" s="53"/>
      <c r="AI9" s="53"/>
      <c r="AJ9" s="53"/>
      <c r="AK9" s="56" t="str">
        <f t="shared" si="9"/>
        <v>未填写身份证号码</v>
      </c>
      <c r="AL9" s="56" t="str">
        <f>IF(SUMPRODUCT(N(E$2:E$12=E9))&gt;1,"重复","不")</f>
        <v>重复</v>
      </c>
      <c r="AM9" s="56" t="str">
        <f>IF(SUMPRODUCT(N(AH$2:AH$12=AH9))&gt;1,"重复","不")</f>
        <v>重复</v>
      </c>
    </row>
    <row r="10" s="11" customFormat="1" ht="15.75" customHeight="1" spans="1:39">
      <c r="A10" s="19">
        <v>8</v>
      </c>
      <c r="B10" s="20"/>
      <c r="C10" s="20"/>
      <c r="D10" s="21" t="s">
        <v>173</v>
      </c>
      <c r="E10" s="22"/>
      <c r="F10" s="23"/>
      <c r="G10" s="24"/>
      <c r="H10" s="24"/>
      <c r="I10" s="22"/>
      <c r="J10" s="23" t="s">
        <v>58</v>
      </c>
      <c r="K10" s="23" t="s">
        <v>58</v>
      </c>
      <c r="L10" s="23"/>
      <c r="M10" s="23"/>
      <c r="N10" s="23"/>
      <c r="O10" s="23"/>
      <c r="P10" s="41"/>
      <c r="Q10" s="46"/>
      <c r="R10" s="46"/>
      <c r="S10" s="46"/>
      <c r="T10" s="47">
        <f t="shared" si="0"/>
        <v>0</v>
      </c>
      <c r="U10" s="48">
        <f t="shared" si="1"/>
        <v>0</v>
      </c>
      <c r="V10" s="49">
        <v>5000</v>
      </c>
      <c r="W10" s="49">
        <f t="shared" si="2"/>
        <v>0</v>
      </c>
      <c r="X10" s="50">
        <f t="shared" si="3"/>
        <v>0</v>
      </c>
      <c r="Y10" s="51">
        <f t="shared" si="4"/>
        <v>0</v>
      </c>
      <c r="Z10" s="51">
        <f t="shared" si="5"/>
        <v>0</v>
      </c>
      <c r="AA10" s="52">
        <f t="shared" si="6"/>
        <v>0</v>
      </c>
      <c r="AB10" s="53"/>
      <c r="AC10" s="52">
        <f t="shared" si="7"/>
        <v>0</v>
      </c>
      <c r="AD10" s="53"/>
      <c r="AE10" s="52">
        <f t="shared" si="8"/>
        <v>0</v>
      </c>
      <c r="AF10" s="53"/>
      <c r="AG10" s="53"/>
      <c r="AH10" s="53"/>
      <c r="AI10" s="53"/>
      <c r="AJ10" s="53"/>
      <c r="AK10" s="56" t="str">
        <f t="shared" si="9"/>
        <v>未填写身份证号码</v>
      </c>
      <c r="AL10" s="56" t="str">
        <f>IF(SUMPRODUCT(N(E$2:E$12=E10))&gt;1,"重复","不")</f>
        <v>重复</v>
      </c>
      <c r="AM10" s="56" t="str">
        <f>IF(SUMPRODUCT(N(AH$2:AH$12=AH10))&gt;1,"重复","不")</f>
        <v>重复</v>
      </c>
    </row>
    <row r="11" s="11" customFormat="1" ht="15.75" customHeight="1" spans="1:39">
      <c r="A11" s="19">
        <v>9</v>
      </c>
      <c r="B11" s="20"/>
      <c r="C11" s="20"/>
      <c r="D11" s="21" t="s">
        <v>173</v>
      </c>
      <c r="E11" s="22"/>
      <c r="F11" s="23"/>
      <c r="G11" s="24"/>
      <c r="H11" s="24"/>
      <c r="I11" s="22"/>
      <c r="J11" s="23" t="s">
        <v>58</v>
      </c>
      <c r="K11" s="23" t="s">
        <v>58</v>
      </c>
      <c r="L11" s="23"/>
      <c r="M11" s="23"/>
      <c r="N11" s="23"/>
      <c r="O11" s="23"/>
      <c r="P11" s="41"/>
      <c r="Q11" s="46"/>
      <c r="R11" s="46"/>
      <c r="S11" s="46"/>
      <c r="T11" s="47">
        <f t="shared" si="0"/>
        <v>0</v>
      </c>
      <c r="U11" s="48">
        <f t="shared" si="1"/>
        <v>0</v>
      </c>
      <c r="V11" s="49">
        <v>5000</v>
      </c>
      <c r="W11" s="49">
        <f t="shared" si="2"/>
        <v>0</v>
      </c>
      <c r="X11" s="50">
        <f t="shared" si="3"/>
        <v>0</v>
      </c>
      <c r="Y11" s="51">
        <f t="shared" si="4"/>
        <v>0</v>
      </c>
      <c r="Z11" s="51">
        <f t="shared" si="5"/>
        <v>0</v>
      </c>
      <c r="AA11" s="52">
        <f t="shared" si="6"/>
        <v>0</v>
      </c>
      <c r="AB11" s="53"/>
      <c r="AC11" s="52">
        <f t="shared" si="7"/>
        <v>0</v>
      </c>
      <c r="AD11" s="53"/>
      <c r="AE11" s="52">
        <f t="shared" si="8"/>
        <v>0</v>
      </c>
      <c r="AF11" s="53"/>
      <c r="AG11" s="53"/>
      <c r="AH11" s="53"/>
      <c r="AI11" s="53"/>
      <c r="AJ11" s="53"/>
      <c r="AK11" s="56" t="str">
        <f t="shared" si="9"/>
        <v>未填写身份证号码</v>
      </c>
      <c r="AL11" s="56" t="str">
        <f>IF(SUMPRODUCT(N(E$2:E$12=E11))&gt;1,"重复","不")</f>
        <v>重复</v>
      </c>
      <c r="AM11" s="56" t="str">
        <f>IF(SUMPRODUCT(N(AH$2:AH$12=AH11))&gt;1,"重复","不")</f>
        <v>重复</v>
      </c>
    </row>
    <row r="12" s="11" customFormat="1" ht="15.75" customHeight="1" spans="1:39">
      <c r="A12" s="19">
        <v>10</v>
      </c>
      <c r="B12" s="20"/>
      <c r="C12" s="25"/>
      <c r="D12" s="21" t="s">
        <v>173</v>
      </c>
      <c r="E12" s="22"/>
      <c r="F12" s="23"/>
      <c r="G12" s="24"/>
      <c r="H12" s="24"/>
      <c r="I12" s="22"/>
      <c r="J12" s="23" t="s">
        <v>58</v>
      </c>
      <c r="K12" s="23" t="s">
        <v>58</v>
      </c>
      <c r="L12" s="23"/>
      <c r="M12" s="23"/>
      <c r="N12" s="23"/>
      <c r="O12" s="23"/>
      <c r="P12" s="41"/>
      <c r="Q12" s="46"/>
      <c r="R12" s="46"/>
      <c r="S12" s="46"/>
      <c r="T12" s="47">
        <f t="shared" si="0"/>
        <v>0</v>
      </c>
      <c r="U12" s="48">
        <f t="shared" si="1"/>
        <v>0</v>
      </c>
      <c r="V12" s="49">
        <v>5000</v>
      </c>
      <c r="W12" s="49">
        <f t="shared" si="2"/>
        <v>0</v>
      </c>
      <c r="X12" s="50">
        <f t="shared" si="3"/>
        <v>0</v>
      </c>
      <c r="Y12" s="51">
        <f t="shared" si="4"/>
        <v>0</v>
      </c>
      <c r="Z12" s="51">
        <f t="shared" si="5"/>
        <v>0</v>
      </c>
      <c r="AA12" s="52">
        <f t="shared" si="6"/>
        <v>0</v>
      </c>
      <c r="AB12" s="53"/>
      <c r="AC12" s="52">
        <f t="shared" si="7"/>
        <v>0</v>
      </c>
      <c r="AD12" s="53"/>
      <c r="AE12" s="52">
        <f t="shared" si="8"/>
        <v>0</v>
      </c>
      <c r="AF12" s="53"/>
      <c r="AG12" s="53"/>
      <c r="AH12" s="53"/>
      <c r="AI12" s="53"/>
      <c r="AJ12" s="53"/>
      <c r="AK12" s="56" t="str">
        <f t="shared" si="9"/>
        <v>未填写身份证号码</v>
      </c>
      <c r="AL12" s="56" t="str">
        <f>IF(SUMPRODUCT(N(E$2:E$12=E12))&gt;1,"重复","不")</f>
        <v>重复</v>
      </c>
      <c r="AM12" s="56" t="str">
        <f>IF(SUMPRODUCT(N(AH$2:AH$12=AH12))&gt;1,"重复","不")</f>
        <v>重复</v>
      </c>
    </row>
    <row r="13" s="12" customFormat="1" spans="1:39">
      <c r="A13" s="19"/>
      <c r="B13" s="26" t="s">
        <v>97</v>
      </c>
      <c r="C13" s="26"/>
      <c r="D13" s="27"/>
      <c r="E13" s="28"/>
      <c r="F13" s="29"/>
      <c r="G13" s="30"/>
      <c r="H13" s="30"/>
      <c r="I13" s="30"/>
      <c r="J13" s="30"/>
      <c r="K13" s="29"/>
      <c r="L13" s="29"/>
      <c r="M13" s="29"/>
      <c r="N13" s="29"/>
      <c r="O13" s="29"/>
      <c r="P13" s="42">
        <f t="shared" ref="P13:AE13" si="10">SUM(P3:P12)</f>
        <v>15000</v>
      </c>
      <c r="Q13" s="42">
        <f t="shared" si="10"/>
        <v>500</v>
      </c>
      <c r="R13" s="42">
        <f t="shared" si="10"/>
        <v>300</v>
      </c>
      <c r="S13" s="42">
        <f t="shared" si="10"/>
        <v>1000</v>
      </c>
      <c r="T13" s="42">
        <f t="shared" si="10"/>
        <v>16800</v>
      </c>
      <c r="U13" s="42">
        <f t="shared" si="10"/>
        <v>16368</v>
      </c>
      <c r="V13" s="42">
        <f t="shared" si="10"/>
        <v>50000</v>
      </c>
      <c r="W13" s="42">
        <f t="shared" si="10"/>
        <v>11368</v>
      </c>
      <c r="X13" s="42">
        <f t="shared" si="10"/>
        <v>10</v>
      </c>
      <c r="Y13" s="42">
        <f t="shared" si="10"/>
        <v>210</v>
      </c>
      <c r="Z13" s="42">
        <f t="shared" si="10"/>
        <v>926.8</v>
      </c>
      <c r="AA13" s="42">
        <f t="shared" si="10"/>
        <v>15873.2</v>
      </c>
      <c r="AB13" s="42">
        <f t="shared" si="10"/>
        <v>0</v>
      </c>
      <c r="AC13" s="42">
        <f t="shared" si="10"/>
        <v>15873.2</v>
      </c>
      <c r="AD13" s="42">
        <f t="shared" si="10"/>
        <v>0</v>
      </c>
      <c r="AE13" s="42">
        <f t="shared" si="10"/>
        <v>16800</v>
      </c>
      <c r="AF13" s="52"/>
      <c r="AG13" s="52"/>
      <c r="AH13" s="52"/>
      <c r="AI13" s="52"/>
      <c r="AJ13" s="52"/>
      <c r="AK13" s="30"/>
      <c r="AL13" s="30"/>
      <c r="AM13" s="56"/>
    </row>
    <row r="14" s="11" customFormat="1" spans="9:9">
      <c r="I14" s="12"/>
    </row>
    <row r="15" s="11" customFormat="1" spans="9:9">
      <c r="I15" s="12"/>
    </row>
    <row r="16" s="11" customFormat="1" spans="2:9">
      <c r="B16" s="31"/>
      <c r="C16" s="31"/>
      <c r="D16" s="31"/>
      <c r="E16" s="31"/>
      <c r="I16" s="12"/>
    </row>
    <row r="17" s="11" customFormat="1" spans="1:9">
      <c r="A17" s="32" t="s">
        <v>100</v>
      </c>
      <c r="B17" s="33" t="s">
        <v>101</v>
      </c>
      <c r="C17" s="31"/>
      <c r="D17" s="31"/>
      <c r="E17" s="31"/>
      <c r="I17" s="12"/>
    </row>
    <row r="18" s="11" customFormat="1" spans="1:9">
      <c r="A18" s="34"/>
      <c r="B18" s="35" t="s">
        <v>102</v>
      </c>
      <c r="C18" s="31"/>
      <c r="D18" s="31"/>
      <c r="E18" s="31"/>
      <c r="I18" s="12"/>
    </row>
    <row r="19" s="11" customFormat="1" spans="1:20">
      <c r="A19" s="33"/>
      <c r="B19" s="35" t="s">
        <v>123</v>
      </c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</row>
    <row r="20" s="11" customFormat="1" spans="1:20">
      <c r="A20" s="35"/>
      <c r="B20" s="35" t="s">
        <v>104</v>
      </c>
      <c r="C20" s="37"/>
      <c r="D20" s="37"/>
      <c r="E20" s="37"/>
      <c r="F20" s="38"/>
      <c r="G20" s="37"/>
      <c r="H20" s="37"/>
      <c r="I20" s="37"/>
      <c r="J20" s="37"/>
      <c r="K20" s="38"/>
      <c r="L20" s="38"/>
      <c r="M20" s="38"/>
      <c r="N20" s="38"/>
      <c r="O20" s="38"/>
      <c r="P20" s="38"/>
      <c r="Q20" s="38"/>
      <c r="R20" s="38"/>
      <c r="S20" s="38"/>
      <c r="T20" s="38"/>
    </row>
    <row r="21" s="11" customFormat="1" spans="1:20">
      <c r="A21" s="35"/>
      <c r="B21" s="35" t="s">
        <v>105</v>
      </c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8"/>
      <c r="Q21" s="38"/>
      <c r="R21" s="38"/>
      <c r="S21" s="38"/>
      <c r="T21" s="38"/>
    </row>
    <row r="22" s="11" customFormat="1" spans="1:20">
      <c r="A22" s="35"/>
      <c r="B22" s="35" t="s">
        <v>106</v>
      </c>
      <c r="C22" s="37"/>
      <c r="D22" s="37"/>
      <c r="E22" s="37"/>
      <c r="F22" s="38"/>
      <c r="G22" s="37"/>
      <c r="H22" s="37"/>
      <c r="I22" s="37"/>
      <c r="J22" s="37"/>
      <c r="K22" s="38"/>
      <c r="L22" s="38"/>
      <c r="M22" s="38"/>
      <c r="N22" s="38"/>
      <c r="O22" s="38"/>
      <c r="P22" s="38"/>
      <c r="Q22" s="38"/>
      <c r="R22" s="38"/>
      <c r="S22" s="38"/>
      <c r="T22" s="38"/>
    </row>
    <row r="23" s="11" customFormat="1" spans="1:20">
      <c r="A23" s="35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</row>
    <row r="24" s="11" customFormat="1" spans="1:20">
      <c r="A24" s="35"/>
      <c r="B24" s="33" t="s">
        <v>107</v>
      </c>
      <c r="C24" s="37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</row>
    <row r="25" s="11" customFormat="1" spans="1:20">
      <c r="A25" s="35"/>
      <c r="B25" s="35" t="s">
        <v>175</v>
      </c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</row>
    <row r="26" s="11" customFormat="1" spans="2:9">
      <c r="B26" s="35" t="s">
        <v>176</v>
      </c>
      <c r="I26" s="12"/>
    </row>
    <row r="27" s="11" customFormat="1" spans="2:9">
      <c r="B27" s="35" t="s">
        <v>177</v>
      </c>
      <c r="I27" s="12"/>
    </row>
    <row r="28" s="11" customFormat="1" spans="9:9">
      <c r="I28" s="12"/>
    </row>
    <row r="29" s="11" customFormat="1" spans="2:9">
      <c r="B29" s="33" t="s">
        <v>178</v>
      </c>
      <c r="I29" s="12"/>
    </row>
    <row r="30" s="11" customFormat="1" spans="2:9">
      <c r="B30" s="35" t="s">
        <v>179</v>
      </c>
      <c r="I30" s="12"/>
    </row>
    <row r="31" s="11" customFormat="1" spans="1:9">
      <c r="A31" s="35"/>
      <c r="I31" s="12"/>
    </row>
    <row r="32" s="11" customFormat="1" spans="1:9">
      <c r="A32" s="34"/>
      <c r="I32" s="12"/>
    </row>
    <row r="33" s="11" customFormat="1" spans="9:9">
      <c r="I33" s="12"/>
    </row>
    <row r="34" s="11" customFormat="1" spans="9:9">
      <c r="I34" s="12"/>
    </row>
    <row r="35" s="11" customFormat="1" spans="9:9">
      <c r="I35" s="12"/>
    </row>
    <row r="36" s="11" customFormat="1" spans="9:9">
      <c r="I36" s="12"/>
    </row>
  </sheetData>
  <dataValidations count="1">
    <dataValidation type="list" allowBlank="1" showInputMessage="1" showErrorMessage="1" sqref="D3:D12">
      <formula1>"港澳居民来往内地通行证,台湾居民往来大陆通行证,港澳居民居住证,台湾居民居住证,外国护照,外国人永久居留身份证,外国人工作许可证（A类）,外国人工作许可证（B类）,外国人工作许可证（C类）"</formula1>
    </dataValidation>
  </dataValidations>
  <pageMargins left="0.699305555555555" right="0.699305555555555" top="0.75" bottom="0.75" header="0.511805555555555" footer="0.511805555555555"/>
  <pageSetup paperSize="9" firstPageNumber="0" orientation="portrait" useFirstPageNumber="1" horizontalDpi="300" verticalDpi="300"/>
  <headerFooter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E44"/>
  <sheetViews>
    <sheetView workbookViewId="0">
      <selection activeCell="H40" sqref="H40"/>
    </sheetView>
  </sheetViews>
  <sheetFormatPr defaultColWidth="9" defaultRowHeight="13.5" outlineLevelCol="4"/>
  <cols>
    <col min="1" max="2" width="9" customWidth="1"/>
    <col min="3" max="3" width="31.9833333333333" customWidth="1"/>
    <col min="4" max="4" width="13.7583333333333" customWidth="1"/>
    <col min="5" max="5" width="16.1166666666667" customWidth="1"/>
    <col min="6" max="1025" width="9" customWidth="1"/>
  </cols>
  <sheetData>
    <row r="1" ht="57" customHeight="1" spans="2:5">
      <c r="B1" s="1" t="s">
        <v>180</v>
      </c>
      <c r="C1" s="1"/>
      <c r="D1" s="1"/>
      <c r="E1" s="1"/>
    </row>
    <row r="2" ht="21" spans="2:2">
      <c r="B2" s="2"/>
    </row>
    <row r="3" ht="27.75" customHeight="1" spans="2:5">
      <c r="B3" s="3" t="s">
        <v>181</v>
      </c>
      <c r="C3" s="4" t="s">
        <v>26</v>
      </c>
      <c r="D3" s="4" t="s">
        <v>114</v>
      </c>
      <c r="E3" s="4" t="s">
        <v>115</v>
      </c>
    </row>
    <row r="4" ht="29.25" customHeight="1" spans="2:5">
      <c r="B4" s="5">
        <v>1</v>
      </c>
      <c r="C4" s="6" t="s">
        <v>182</v>
      </c>
      <c r="D4" s="7">
        <v>0.03</v>
      </c>
      <c r="E4" s="8">
        <v>0</v>
      </c>
    </row>
    <row r="5" ht="29.25" customHeight="1" spans="2:5">
      <c r="B5" s="5">
        <v>2</v>
      </c>
      <c r="C5" s="6" t="s">
        <v>183</v>
      </c>
      <c r="D5" s="7">
        <v>0.1</v>
      </c>
      <c r="E5" s="8">
        <v>2520</v>
      </c>
    </row>
    <row r="6" ht="29.25" customHeight="1" spans="2:5">
      <c r="B6" s="5">
        <v>3</v>
      </c>
      <c r="C6" s="6" t="s">
        <v>184</v>
      </c>
      <c r="D6" s="7">
        <v>0.2</v>
      </c>
      <c r="E6" s="8">
        <v>16920</v>
      </c>
    </row>
    <row r="7" ht="29.25" customHeight="1" spans="2:5">
      <c r="B7" s="5">
        <v>4</v>
      </c>
      <c r="C7" s="6" t="s">
        <v>185</v>
      </c>
      <c r="D7" s="7">
        <v>0.25</v>
      </c>
      <c r="E7" s="8">
        <v>31920</v>
      </c>
    </row>
    <row r="8" ht="29.25" customHeight="1" spans="2:5">
      <c r="B8" s="5">
        <v>5</v>
      </c>
      <c r="C8" s="6" t="s">
        <v>186</v>
      </c>
      <c r="D8" s="7">
        <v>0.3</v>
      </c>
      <c r="E8" s="8">
        <v>52920</v>
      </c>
    </row>
    <row r="9" ht="29.25" customHeight="1" spans="2:5">
      <c r="B9" s="5">
        <v>6</v>
      </c>
      <c r="C9" s="6" t="s">
        <v>187</v>
      </c>
      <c r="D9" s="7">
        <v>0.35</v>
      </c>
      <c r="E9" s="8">
        <v>85920</v>
      </c>
    </row>
    <row r="10" ht="29.25" customHeight="1" spans="2:5">
      <c r="B10" s="5">
        <v>7</v>
      </c>
      <c r="C10" s="6" t="s">
        <v>188</v>
      </c>
      <c r="D10" s="7">
        <v>0.45</v>
      </c>
      <c r="E10" s="8">
        <v>181920</v>
      </c>
    </row>
    <row r="13" ht="57" customHeight="1" spans="2:5">
      <c r="B13" s="1" t="s">
        <v>189</v>
      </c>
      <c r="C13" s="1"/>
      <c r="D13" s="1"/>
      <c r="E13" s="1"/>
    </row>
    <row r="14" ht="21" spans="2:2">
      <c r="B14" s="2"/>
    </row>
    <row r="15" ht="27.75" customHeight="1" spans="2:5">
      <c r="B15" s="3" t="s">
        <v>181</v>
      </c>
      <c r="C15" s="4" t="s">
        <v>190</v>
      </c>
      <c r="D15" s="4" t="s">
        <v>114</v>
      </c>
      <c r="E15" s="4" t="s">
        <v>115</v>
      </c>
    </row>
    <row r="16" ht="29.25" customHeight="1" spans="2:5">
      <c r="B16" s="5">
        <v>1</v>
      </c>
      <c r="C16" s="6" t="s">
        <v>191</v>
      </c>
      <c r="D16" s="7">
        <v>0.2</v>
      </c>
      <c r="E16" s="8">
        <v>0</v>
      </c>
    </row>
    <row r="17" ht="29.25" customHeight="1" spans="2:5">
      <c r="B17" s="5">
        <v>2</v>
      </c>
      <c r="C17" s="6" t="s">
        <v>192</v>
      </c>
      <c r="D17" s="7">
        <v>0.3</v>
      </c>
      <c r="E17" s="8">
        <v>2000</v>
      </c>
    </row>
    <row r="18" ht="29.25" customHeight="1" spans="2:5">
      <c r="B18" s="5">
        <v>3</v>
      </c>
      <c r="C18" s="6" t="s">
        <v>193</v>
      </c>
      <c r="D18" s="7">
        <v>0.4</v>
      </c>
      <c r="E18" s="8">
        <v>7000</v>
      </c>
    </row>
    <row r="21" ht="47.25" customHeight="1" spans="2:5">
      <c r="B21" s="1" t="s">
        <v>194</v>
      </c>
      <c r="C21" s="1"/>
      <c r="D21" s="1"/>
      <c r="E21" s="1"/>
    </row>
    <row r="22" ht="21" spans="2:2">
      <c r="B22" s="2"/>
    </row>
    <row r="23" ht="27.75" customHeight="1" spans="2:5">
      <c r="B23" s="3" t="s">
        <v>181</v>
      </c>
      <c r="C23" s="4" t="s">
        <v>113</v>
      </c>
      <c r="D23" s="4" t="s">
        <v>114</v>
      </c>
      <c r="E23" s="4" t="s">
        <v>115</v>
      </c>
    </row>
    <row r="24" ht="29.25" customHeight="1" spans="2:5">
      <c r="B24" s="5">
        <v>1</v>
      </c>
      <c r="C24" s="6" t="s">
        <v>195</v>
      </c>
      <c r="D24" s="7">
        <v>0.03</v>
      </c>
      <c r="E24" s="8">
        <v>0</v>
      </c>
    </row>
    <row r="25" ht="29.25" customHeight="1" spans="2:5">
      <c r="B25" s="5">
        <v>2</v>
      </c>
      <c r="C25" s="6" t="s">
        <v>196</v>
      </c>
      <c r="D25" s="7">
        <v>0.1</v>
      </c>
      <c r="E25" s="8">
        <v>210</v>
      </c>
    </row>
    <row r="26" ht="29.25" customHeight="1" spans="2:5">
      <c r="B26" s="5">
        <v>3</v>
      </c>
      <c r="C26" s="6" t="s">
        <v>197</v>
      </c>
      <c r="D26" s="7">
        <v>0.2</v>
      </c>
      <c r="E26" s="8">
        <v>1410</v>
      </c>
    </row>
    <row r="27" ht="29.25" customHeight="1" spans="2:5">
      <c r="B27" s="5">
        <v>4</v>
      </c>
      <c r="C27" s="6" t="s">
        <v>198</v>
      </c>
      <c r="D27" s="7">
        <v>0.25</v>
      </c>
      <c r="E27" s="8">
        <v>2660</v>
      </c>
    </row>
    <row r="28" ht="29.25" customHeight="1" spans="2:5">
      <c r="B28" s="5">
        <v>5</v>
      </c>
      <c r="C28" s="6" t="s">
        <v>199</v>
      </c>
      <c r="D28" s="7">
        <v>0.3</v>
      </c>
      <c r="E28" s="8">
        <v>4410</v>
      </c>
    </row>
    <row r="29" ht="29.25" customHeight="1" spans="2:5">
      <c r="B29" s="5">
        <v>6</v>
      </c>
      <c r="C29" s="6" t="s">
        <v>200</v>
      </c>
      <c r="D29" s="7">
        <v>0.35</v>
      </c>
      <c r="E29" s="8">
        <v>7160</v>
      </c>
    </row>
    <row r="30" ht="29.25" customHeight="1" spans="2:5">
      <c r="B30" s="5">
        <v>7</v>
      </c>
      <c r="C30" s="6" t="s">
        <v>201</v>
      </c>
      <c r="D30" s="7">
        <v>0.45</v>
      </c>
      <c r="E30" s="8">
        <v>15160</v>
      </c>
    </row>
    <row r="35" ht="57" customHeight="1" spans="2:5">
      <c r="B35" s="9" t="s">
        <v>202</v>
      </c>
      <c r="C35" s="9"/>
      <c r="D35" s="9"/>
      <c r="E35" s="9"/>
    </row>
    <row r="36" ht="14.25"/>
    <row r="37" ht="21.75" customHeight="1" spans="2:5">
      <c r="B37" s="3" t="s">
        <v>181</v>
      </c>
      <c r="C37" s="4" t="s">
        <v>203</v>
      </c>
      <c r="D37" s="4" t="s">
        <v>204</v>
      </c>
      <c r="E37" s="4" t="s">
        <v>115</v>
      </c>
    </row>
    <row r="38" ht="21.75" customHeight="1" spans="2:5">
      <c r="B38" s="5">
        <v>1</v>
      </c>
      <c r="C38" s="6" t="s">
        <v>195</v>
      </c>
      <c r="D38" s="7">
        <v>3</v>
      </c>
      <c r="E38" s="8">
        <v>0</v>
      </c>
    </row>
    <row r="39" ht="21.75" customHeight="1" spans="2:5">
      <c r="B39" s="5">
        <v>2</v>
      </c>
      <c r="C39" s="6" t="s">
        <v>196</v>
      </c>
      <c r="D39" s="7">
        <v>10</v>
      </c>
      <c r="E39" s="8">
        <v>210</v>
      </c>
    </row>
    <row r="40" ht="21.75" customHeight="1" spans="2:5">
      <c r="B40" s="5">
        <v>3</v>
      </c>
      <c r="C40" s="6" t="s">
        <v>197</v>
      </c>
      <c r="D40" s="7">
        <v>20</v>
      </c>
      <c r="E40" s="8">
        <v>1410</v>
      </c>
    </row>
    <row r="41" ht="21.75" customHeight="1" spans="2:5">
      <c r="B41" s="5">
        <v>4</v>
      </c>
      <c r="C41" s="6" t="s">
        <v>198</v>
      </c>
      <c r="D41" s="7">
        <v>25</v>
      </c>
      <c r="E41" s="8">
        <v>2660</v>
      </c>
    </row>
    <row r="42" ht="21.75" customHeight="1" spans="2:5">
      <c r="B42" s="5">
        <v>5</v>
      </c>
      <c r="C42" s="6" t="s">
        <v>199</v>
      </c>
      <c r="D42" s="7">
        <v>30</v>
      </c>
      <c r="E42" s="8">
        <v>4410</v>
      </c>
    </row>
    <row r="43" ht="21.75" customHeight="1" spans="2:5">
      <c r="B43" s="5">
        <v>6</v>
      </c>
      <c r="C43" s="6" t="s">
        <v>200</v>
      </c>
      <c r="D43" s="7">
        <v>35</v>
      </c>
      <c r="E43" s="8">
        <v>7160</v>
      </c>
    </row>
    <row r="44" ht="21.75" customHeight="1" spans="2:5">
      <c r="B44" s="5">
        <v>7</v>
      </c>
      <c r="C44" s="6" t="s">
        <v>201</v>
      </c>
      <c r="D44" s="7">
        <v>45</v>
      </c>
      <c r="E44" s="8">
        <v>15160</v>
      </c>
    </row>
  </sheetData>
  <mergeCells count="4">
    <mergeCell ref="B1:E1"/>
    <mergeCell ref="B13:E13"/>
    <mergeCell ref="B21:E21"/>
    <mergeCell ref="B35:E35"/>
  </mergeCells>
  <pageMargins left="0.707638888888889" right="0.707638888888889" top="0.747916666666667" bottom="0.747916666666667" header="0.511805555555555" footer="0.511805555555555"/>
  <pageSetup paperSize="9" firstPageNumber="0" orientation="landscape" useFirstPageNumber="1" horizontalDpi="3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cols>
    <col min="1" max="1025" width="9" customWidth="1"/>
  </cols>
  <sheetData/>
  <pageMargins left="0.75" right="0.75" top="1" bottom="1" header="0.511805555555555" footer="0.511805555555555"/>
  <pageSetup paperSize="9" firstPageNumber="0" orientation="portrait" useFirstPageNumber="1" horizontalDpi="3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cols>
    <col min="1" max="1025" width="9" customWidth="1"/>
  </cols>
  <sheetData/>
  <pageMargins left="0.75" right="0.75" top="1" bottom="1" header="0.511805555555555" footer="0.511805555555555"/>
  <pageSetup paperSize="9" firstPageNumber="0" orientation="portrait" useFirstPageNumber="1" horizontalDpi="300" verticalDpi="3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cols>
    <col min="1" max="1025" width="9" customWidth="1"/>
  </cols>
  <sheetData/>
  <pageMargins left="0.75" right="0.75" top="1" bottom="1" header="0.511805555555555" footer="0.511805555555555"/>
  <pageSetup paperSize="9" firstPageNumber="0" orientation="portrait" useFirstPageNumber="1" horizontalDpi="300" verticalDpi="3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cols>
    <col min="1" max="1025" width="9" customWidth="1"/>
  </cols>
  <sheetData/>
  <pageMargins left="0.75" right="0.75" top="1" bottom="1" header="0.511805555555555" footer="0.511805555555555"/>
  <pageSetup paperSize="9" firstPageNumber="0" orientation="portrait" useFirstPageNumber="1" horizontalDpi="300" verticalDpi="3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cols>
    <col min="1" max="1025" width="9" customWidth="1"/>
  </cols>
  <sheetData/>
  <pageMargins left="0.75" right="0.75" top="1" bottom="1" header="0.511805555555555" footer="0.511805555555555"/>
  <pageSetup paperSize="9" firstPageNumber="0" orientation="portrait" useFirstPageNumber="1" horizontalDpi="300" verticalDpi="3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cols>
    <col min="1" max="1025" width="9" customWidth="1"/>
  </cols>
  <sheetData/>
  <pageMargins left="0.75" right="0.75" top="1" bottom="1" header="0.511805555555555" footer="0.511805555555555"/>
  <pageSetup paperSize="9" firstPageNumber="0" orientation="portrait" useFirstPageNumber="1" horizontalDpi="300" verticalDpi="3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cols>
    <col min="1" max="1025" width="9" customWidth="1"/>
  </cols>
  <sheetData/>
  <pageMargins left="0.75" right="0.75" top="1" bottom="1" header="0.511805555555555" footer="0.511805555555555"/>
  <pageSetup paperSize="9" firstPageNumber="0" orientation="portrait" useFirstPageNumber="1" horizontalDpi="300" verticalDpi="3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Z35"/>
  <sheetViews>
    <sheetView workbookViewId="0">
      <selection activeCell="M4" sqref="M4"/>
    </sheetView>
  </sheetViews>
  <sheetFormatPr defaultColWidth="9" defaultRowHeight="13.5"/>
  <cols>
    <col min="1" max="1" width="4.5" style="60" customWidth="1"/>
    <col min="2" max="2" width="16" style="60" customWidth="1"/>
    <col min="3" max="3" width="12" style="60" customWidth="1"/>
    <col min="4" max="4" width="12" style="61" customWidth="1"/>
    <col min="5" max="5" width="18.0083333333333" style="60" customWidth="1"/>
    <col min="6" max="6" width="7.5" style="60" customWidth="1"/>
    <col min="7" max="7" width="12.7583333333333" style="60" customWidth="1"/>
    <col min="8" max="10" width="12.5" style="60" customWidth="1"/>
    <col min="11" max="11" width="5" style="139" customWidth="1"/>
    <col min="12" max="12" width="10.3833333333333" style="60" customWidth="1"/>
    <col min="13" max="13" width="12.5" style="60" customWidth="1"/>
    <col min="14" max="14" width="11.6166666666667" style="60" customWidth="1"/>
    <col min="15" max="15" width="8.11666666666667" style="60" customWidth="1"/>
    <col min="16" max="16" width="11.6166666666667" style="60" customWidth="1"/>
    <col min="17" max="17" width="9.25833333333333" style="60" customWidth="1"/>
    <col min="18" max="18" width="13.8833333333333" style="60" customWidth="1"/>
    <col min="19" max="20" width="9" style="60" customWidth="1"/>
    <col min="21" max="21" width="23.25" style="63" customWidth="1"/>
    <col min="22" max="22" width="12.2583333333333" style="60" customWidth="1"/>
    <col min="23" max="23" width="6.75833333333333" style="60" customWidth="1"/>
    <col min="24" max="24" width="11.3833333333333" style="60" customWidth="1"/>
    <col min="25" max="25" width="8.61666666666667" style="60" customWidth="1"/>
    <col min="26" max="1025" width="9" style="60" customWidth="1"/>
  </cols>
  <sheetData>
    <row r="1" s="57" customFormat="1" ht="29.25" customHeight="1" spans="1:25">
      <c r="A1" s="13" t="s">
        <v>0</v>
      </c>
      <c r="B1" s="64"/>
      <c r="C1" s="112"/>
      <c r="D1" s="66"/>
      <c r="E1" s="60"/>
      <c r="F1" s="60"/>
      <c r="H1" s="84"/>
      <c r="I1" s="84"/>
      <c r="J1" s="84"/>
      <c r="K1" s="142"/>
      <c r="L1" s="84"/>
      <c r="M1" s="84"/>
      <c r="N1" s="84"/>
      <c r="O1" s="84"/>
      <c r="P1" s="84"/>
      <c r="Q1" s="84"/>
      <c r="R1" s="85"/>
      <c r="S1" s="60"/>
      <c r="T1" s="60"/>
      <c r="U1" s="63"/>
      <c r="V1" s="60"/>
      <c r="W1" s="60"/>
      <c r="X1" s="60"/>
      <c r="Y1" s="60"/>
    </row>
    <row r="2" s="58" customFormat="1" ht="21.75" customHeight="1" spans="1:26">
      <c r="A2" s="67" t="s">
        <v>2</v>
      </c>
      <c r="B2" s="113" t="s">
        <v>110</v>
      </c>
      <c r="C2" s="113" t="s">
        <v>4</v>
      </c>
      <c r="D2" s="113" t="s">
        <v>5</v>
      </c>
      <c r="E2" s="69" t="s">
        <v>6</v>
      </c>
      <c r="F2" s="70" t="s">
        <v>7</v>
      </c>
      <c r="G2" s="69" t="s">
        <v>8</v>
      </c>
      <c r="H2" s="113" t="s">
        <v>111</v>
      </c>
      <c r="I2" s="90" t="s">
        <v>112</v>
      </c>
      <c r="J2" s="90" t="s">
        <v>113</v>
      </c>
      <c r="K2" s="143" t="s">
        <v>114</v>
      </c>
      <c r="L2" s="90" t="s">
        <v>115</v>
      </c>
      <c r="M2" s="90" t="s">
        <v>116</v>
      </c>
      <c r="N2" s="91" t="s">
        <v>30</v>
      </c>
      <c r="O2" s="130" t="s">
        <v>31</v>
      </c>
      <c r="P2" s="91" t="s">
        <v>32</v>
      </c>
      <c r="Q2" s="68" t="s">
        <v>33</v>
      </c>
      <c r="R2" s="91" t="s">
        <v>34</v>
      </c>
      <c r="S2" s="69" t="s">
        <v>35</v>
      </c>
      <c r="T2" s="69" t="s">
        <v>36</v>
      </c>
      <c r="U2" s="102" t="s">
        <v>37</v>
      </c>
      <c r="V2" s="69" t="s">
        <v>38</v>
      </c>
      <c r="W2" s="69" t="s">
        <v>39</v>
      </c>
      <c r="X2" s="70" t="s">
        <v>40</v>
      </c>
      <c r="Y2" s="70" t="s">
        <v>41</v>
      </c>
      <c r="Z2" s="70" t="s">
        <v>41</v>
      </c>
    </row>
    <row r="3" s="58" customFormat="1" ht="21.75" customHeight="1" spans="1:26">
      <c r="A3" s="67"/>
      <c r="B3" s="113"/>
      <c r="C3" s="113"/>
      <c r="D3" s="113"/>
      <c r="E3" s="69"/>
      <c r="F3" s="70"/>
      <c r="G3" s="69"/>
      <c r="H3" s="113"/>
      <c r="I3" s="90"/>
      <c r="J3" s="90"/>
      <c r="K3" s="143"/>
      <c r="L3" s="90"/>
      <c r="M3" s="90"/>
      <c r="N3" s="91"/>
      <c r="O3" s="130"/>
      <c r="P3" s="91"/>
      <c r="Q3" s="68"/>
      <c r="R3" s="91"/>
      <c r="S3" s="69"/>
      <c r="T3" s="69"/>
      <c r="U3" s="102"/>
      <c r="V3" s="69"/>
      <c r="W3" s="69"/>
      <c r="X3" s="70"/>
      <c r="Y3" s="70"/>
      <c r="Z3" s="70"/>
    </row>
    <row r="4" s="57" customFormat="1" spans="1:26">
      <c r="A4" s="114">
        <v>1</v>
      </c>
      <c r="B4" s="72" t="s">
        <v>117</v>
      </c>
      <c r="C4" s="72" t="s">
        <v>118</v>
      </c>
      <c r="D4" s="72" t="s">
        <v>56</v>
      </c>
      <c r="E4" s="74" t="s">
        <v>119</v>
      </c>
      <c r="F4" s="115" t="str">
        <f t="shared" ref="F4:F14" si="0">IF(MOD(MID(E4,17,1),2)=1,"男","女")</f>
        <v>男</v>
      </c>
      <c r="G4" s="116">
        <v>13869452862</v>
      </c>
      <c r="H4" s="117">
        <v>500</v>
      </c>
      <c r="I4" s="131">
        <f t="shared" ref="I4:I14" si="1">ROUND(IF(H4&lt;=4000,800,H4*20%),2)</f>
        <v>800</v>
      </c>
      <c r="J4" s="131">
        <f t="shared" ref="J4:J14" si="2">IF((H4-I4)&gt;0,H4-I4,0)</f>
        <v>0</v>
      </c>
      <c r="K4" s="144">
        <f t="shared" ref="K4:K14" si="3">IF(J4&lt;=0,0,IF(J4&lt;20000,20%,IF(J4&lt;50000,30%,IF(J4&gt;50000,40%,))))*100</f>
        <v>0</v>
      </c>
      <c r="L4" s="145">
        <f t="shared" ref="L4:L14" si="4">IF(K4&lt;=20,0,IF(K4=30,2000,IF(K4=40,7000)))</f>
        <v>0</v>
      </c>
      <c r="M4" s="146">
        <f t="shared" ref="M4:M14" si="5">ROUND((J4*K4)/100-L4,2)</f>
        <v>0</v>
      </c>
      <c r="N4" s="134">
        <f t="shared" ref="N4:N14" si="6">H4-M4</f>
        <v>500</v>
      </c>
      <c r="O4" s="135"/>
      <c r="P4" s="134">
        <f t="shared" ref="P4:P14" si="7">N4+O4</f>
        <v>500</v>
      </c>
      <c r="Q4" s="135">
        <v>50</v>
      </c>
      <c r="R4" s="134">
        <f t="shared" ref="R4:R14" si="8">M4+P4+Q4</f>
        <v>550</v>
      </c>
      <c r="S4" s="104"/>
      <c r="T4" s="104"/>
      <c r="U4" s="119"/>
      <c r="V4" s="106"/>
      <c r="W4" s="104"/>
      <c r="X4" s="109" t="str">
        <f t="shared" ref="X4:X14" si="9"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Y4" s="136" t="str">
        <f>IF(SUMPRODUCT(N(E$1:E$14=E4))&gt;1,"重复","不")</f>
        <v>不</v>
      </c>
      <c r="Z4" s="56" t="str">
        <f>IF(SUMPRODUCT(N(U$2:U$13=U4))&gt;1,"重复","不")</f>
        <v>重复</v>
      </c>
    </row>
    <row r="5" s="57" customFormat="1" spans="1:26">
      <c r="A5" s="114">
        <v>2</v>
      </c>
      <c r="B5" s="72" t="s">
        <v>117</v>
      </c>
      <c r="C5" s="72" t="s">
        <v>120</v>
      </c>
      <c r="D5" s="72" t="s">
        <v>121</v>
      </c>
      <c r="E5" s="74" t="s">
        <v>122</v>
      </c>
      <c r="F5" s="115" t="str">
        <f t="shared" si="0"/>
        <v>男</v>
      </c>
      <c r="G5" s="116">
        <v>12345678910</v>
      </c>
      <c r="H5" s="117">
        <v>600</v>
      </c>
      <c r="I5" s="131">
        <f t="shared" si="1"/>
        <v>800</v>
      </c>
      <c r="J5" s="131">
        <f t="shared" si="2"/>
        <v>0</v>
      </c>
      <c r="K5" s="144">
        <f t="shared" si="3"/>
        <v>0</v>
      </c>
      <c r="L5" s="145">
        <f t="shared" si="4"/>
        <v>0</v>
      </c>
      <c r="M5" s="146">
        <f t="shared" si="5"/>
        <v>0</v>
      </c>
      <c r="N5" s="134">
        <f t="shared" si="6"/>
        <v>600</v>
      </c>
      <c r="O5" s="135"/>
      <c r="P5" s="134">
        <f t="shared" si="7"/>
        <v>600</v>
      </c>
      <c r="Q5" s="135"/>
      <c r="R5" s="134">
        <f t="shared" si="8"/>
        <v>600</v>
      </c>
      <c r="S5" s="104"/>
      <c r="T5" s="104"/>
      <c r="U5" s="119"/>
      <c r="V5" s="106"/>
      <c r="W5" s="104"/>
      <c r="X5" s="109" t="str">
        <f t="shared" si="9"/>
        <v>正确</v>
      </c>
      <c r="Y5" s="136" t="str">
        <f>IF(SUMPRODUCT(N(E$1:E$14=E5))&gt;1,"重复","不")</f>
        <v>不</v>
      </c>
      <c r="Z5" s="56" t="str">
        <f>IF(SUMPRODUCT(N(U$2:U$13=U5))&gt;1,"重复","不")</f>
        <v>重复</v>
      </c>
    </row>
    <row r="6" s="57" customFormat="1" spans="1:26">
      <c r="A6" s="114">
        <v>3</v>
      </c>
      <c r="B6" s="72"/>
      <c r="C6" s="72"/>
      <c r="D6" s="72"/>
      <c r="E6" s="74"/>
      <c r="F6" s="115" t="e">
        <f t="shared" si="0"/>
        <v>#VALUE!</v>
      </c>
      <c r="G6" s="116"/>
      <c r="H6" s="117">
        <v>900</v>
      </c>
      <c r="I6" s="131">
        <f t="shared" si="1"/>
        <v>800</v>
      </c>
      <c r="J6" s="131">
        <f t="shared" si="2"/>
        <v>100</v>
      </c>
      <c r="K6" s="144">
        <f t="shared" si="3"/>
        <v>20</v>
      </c>
      <c r="L6" s="145">
        <f t="shared" si="4"/>
        <v>0</v>
      </c>
      <c r="M6" s="146">
        <f t="shared" si="5"/>
        <v>20</v>
      </c>
      <c r="N6" s="134">
        <f t="shared" si="6"/>
        <v>880</v>
      </c>
      <c r="O6" s="135"/>
      <c r="P6" s="134">
        <f t="shared" si="7"/>
        <v>880</v>
      </c>
      <c r="Q6" s="135"/>
      <c r="R6" s="134">
        <f t="shared" si="8"/>
        <v>900</v>
      </c>
      <c r="S6" s="104"/>
      <c r="T6" s="104"/>
      <c r="U6" s="119"/>
      <c r="V6" s="106"/>
      <c r="W6" s="104"/>
      <c r="X6" s="109" t="str">
        <f t="shared" si="9"/>
        <v>未填写身份证号码</v>
      </c>
      <c r="Y6" s="136" t="str">
        <f>IF(SUMPRODUCT(N(E$1:E$14=E6))&gt;1,"重复","不")</f>
        <v>重复</v>
      </c>
      <c r="Z6" s="56" t="str">
        <f>IF(SUMPRODUCT(N(U$2:U$13=U6))&gt;1,"重复","不")</f>
        <v>重复</v>
      </c>
    </row>
    <row r="7" s="57" customFormat="1" spans="1:26">
      <c r="A7" s="114">
        <v>4</v>
      </c>
      <c r="B7" s="72"/>
      <c r="C7" s="72"/>
      <c r="D7" s="72"/>
      <c r="E7" s="74"/>
      <c r="F7" s="115" t="e">
        <f t="shared" si="0"/>
        <v>#VALUE!</v>
      </c>
      <c r="G7" s="116"/>
      <c r="H7" s="117">
        <v>1000</v>
      </c>
      <c r="I7" s="131">
        <f t="shared" si="1"/>
        <v>800</v>
      </c>
      <c r="J7" s="131">
        <f t="shared" si="2"/>
        <v>200</v>
      </c>
      <c r="K7" s="144">
        <f t="shared" si="3"/>
        <v>20</v>
      </c>
      <c r="L7" s="145">
        <f t="shared" si="4"/>
        <v>0</v>
      </c>
      <c r="M7" s="146">
        <f t="shared" si="5"/>
        <v>40</v>
      </c>
      <c r="N7" s="134">
        <f t="shared" si="6"/>
        <v>960</v>
      </c>
      <c r="O7" s="135"/>
      <c r="P7" s="134">
        <f t="shared" si="7"/>
        <v>960</v>
      </c>
      <c r="Q7" s="135"/>
      <c r="R7" s="134">
        <f t="shared" si="8"/>
        <v>1000</v>
      </c>
      <c r="S7" s="104"/>
      <c r="T7" s="104"/>
      <c r="U7" s="119"/>
      <c r="V7" s="106"/>
      <c r="W7" s="104"/>
      <c r="X7" s="109" t="str">
        <f t="shared" si="9"/>
        <v>未填写身份证号码</v>
      </c>
      <c r="Y7" s="136" t="str">
        <f>IF(SUMPRODUCT(N(E$1:E$14=E7))&gt;1,"重复","不")</f>
        <v>重复</v>
      </c>
      <c r="Z7" s="56" t="str">
        <f>IF(SUMPRODUCT(N(U$2:U$13=U7))&gt;1,"重复","不")</f>
        <v>重复</v>
      </c>
    </row>
    <row r="8" s="57" customFormat="1" spans="1:26">
      <c r="A8" s="114">
        <v>5</v>
      </c>
      <c r="B8" s="72"/>
      <c r="C8" s="72"/>
      <c r="D8" s="72"/>
      <c r="E8" s="74"/>
      <c r="F8" s="115" t="e">
        <f t="shared" si="0"/>
        <v>#VALUE!</v>
      </c>
      <c r="G8" s="116"/>
      <c r="H8" s="117">
        <v>4200</v>
      </c>
      <c r="I8" s="131">
        <f t="shared" si="1"/>
        <v>840</v>
      </c>
      <c r="J8" s="131">
        <f t="shared" si="2"/>
        <v>3360</v>
      </c>
      <c r="K8" s="144">
        <f t="shared" si="3"/>
        <v>20</v>
      </c>
      <c r="L8" s="145">
        <f t="shared" si="4"/>
        <v>0</v>
      </c>
      <c r="M8" s="146">
        <f t="shared" si="5"/>
        <v>672</v>
      </c>
      <c r="N8" s="134">
        <f t="shared" si="6"/>
        <v>3528</v>
      </c>
      <c r="O8" s="135"/>
      <c r="P8" s="134">
        <f t="shared" si="7"/>
        <v>3528</v>
      </c>
      <c r="Q8" s="135"/>
      <c r="R8" s="134">
        <f t="shared" si="8"/>
        <v>4200</v>
      </c>
      <c r="S8" s="104"/>
      <c r="T8" s="104"/>
      <c r="U8" s="119"/>
      <c r="V8" s="106"/>
      <c r="W8" s="104"/>
      <c r="X8" s="109" t="str">
        <f t="shared" si="9"/>
        <v>未填写身份证号码</v>
      </c>
      <c r="Y8" s="136" t="str">
        <f>IF(SUMPRODUCT(N(E$1:E$14=E8))&gt;1,"重复","不")</f>
        <v>重复</v>
      </c>
      <c r="Z8" s="56" t="str">
        <f>IF(SUMPRODUCT(N(U$2:U$13=U8))&gt;1,"重复","不")</f>
        <v>重复</v>
      </c>
    </row>
    <row r="9" s="57" customFormat="1" spans="1:26">
      <c r="A9" s="114">
        <v>6</v>
      </c>
      <c r="B9" s="72"/>
      <c r="C9" s="72"/>
      <c r="D9" s="72"/>
      <c r="E9" s="74"/>
      <c r="F9" s="115" t="e">
        <f t="shared" si="0"/>
        <v>#VALUE!</v>
      </c>
      <c r="G9" s="116"/>
      <c r="H9" s="117">
        <v>12000</v>
      </c>
      <c r="I9" s="131">
        <f t="shared" si="1"/>
        <v>2400</v>
      </c>
      <c r="J9" s="131">
        <f t="shared" si="2"/>
        <v>9600</v>
      </c>
      <c r="K9" s="144">
        <f t="shared" si="3"/>
        <v>20</v>
      </c>
      <c r="L9" s="145">
        <f t="shared" si="4"/>
        <v>0</v>
      </c>
      <c r="M9" s="146">
        <f t="shared" si="5"/>
        <v>1920</v>
      </c>
      <c r="N9" s="134">
        <f t="shared" si="6"/>
        <v>10080</v>
      </c>
      <c r="O9" s="135"/>
      <c r="P9" s="134">
        <f t="shared" si="7"/>
        <v>10080</v>
      </c>
      <c r="Q9" s="135"/>
      <c r="R9" s="134">
        <f t="shared" si="8"/>
        <v>12000</v>
      </c>
      <c r="S9" s="104"/>
      <c r="T9" s="104"/>
      <c r="U9" s="119"/>
      <c r="V9" s="106"/>
      <c r="W9" s="104"/>
      <c r="X9" s="109" t="str">
        <f t="shared" si="9"/>
        <v>未填写身份证号码</v>
      </c>
      <c r="Y9" s="136" t="str">
        <f>IF(SUMPRODUCT(N(E$1:E$14=E9))&gt;1,"重复","不")</f>
        <v>重复</v>
      </c>
      <c r="Z9" s="56" t="str">
        <f>IF(SUMPRODUCT(N(U$2:U$13=U9))&gt;1,"重复","不")</f>
        <v>重复</v>
      </c>
    </row>
    <row r="10" s="57" customFormat="1" spans="1:26">
      <c r="A10" s="114">
        <v>7</v>
      </c>
      <c r="B10" s="72"/>
      <c r="C10" s="72"/>
      <c r="D10" s="72"/>
      <c r="E10" s="74"/>
      <c r="F10" s="115" t="e">
        <f t="shared" si="0"/>
        <v>#VALUE!</v>
      </c>
      <c r="G10" s="116"/>
      <c r="H10" s="117">
        <v>26000</v>
      </c>
      <c r="I10" s="131">
        <f t="shared" si="1"/>
        <v>5200</v>
      </c>
      <c r="J10" s="131">
        <f t="shared" si="2"/>
        <v>20800</v>
      </c>
      <c r="K10" s="144">
        <f t="shared" si="3"/>
        <v>30</v>
      </c>
      <c r="L10" s="145">
        <f t="shared" si="4"/>
        <v>2000</v>
      </c>
      <c r="M10" s="146">
        <f t="shared" si="5"/>
        <v>4240</v>
      </c>
      <c r="N10" s="134">
        <f t="shared" si="6"/>
        <v>21760</v>
      </c>
      <c r="O10" s="135"/>
      <c r="P10" s="134">
        <f t="shared" si="7"/>
        <v>21760</v>
      </c>
      <c r="Q10" s="135"/>
      <c r="R10" s="134">
        <f t="shared" si="8"/>
        <v>26000</v>
      </c>
      <c r="S10" s="104"/>
      <c r="T10" s="104"/>
      <c r="U10" s="119"/>
      <c r="V10" s="106"/>
      <c r="W10" s="104"/>
      <c r="X10" s="109" t="str">
        <f t="shared" si="9"/>
        <v>未填写身份证号码</v>
      </c>
      <c r="Y10" s="136" t="str">
        <f>IF(SUMPRODUCT(N(E$1:E$14=E10))&gt;1,"重复","不")</f>
        <v>重复</v>
      </c>
      <c r="Z10" s="56" t="str">
        <f>IF(SUMPRODUCT(N(U$2:U$13=U10))&gt;1,"重复","不")</f>
        <v>重复</v>
      </c>
    </row>
    <row r="11" s="57" customFormat="1" spans="1:26">
      <c r="A11" s="114">
        <v>8</v>
      </c>
      <c r="B11" s="72"/>
      <c r="C11" s="72"/>
      <c r="D11" s="72"/>
      <c r="E11" s="74"/>
      <c r="F11" s="115" t="e">
        <f t="shared" si="0"/>
        <v>#VALUE!</v>
      </c>
      <c r="G11" s="116"/>
      <c r="H11" s="117">
        <v>62000</v>
      </c>
      <c r="I11" s="131">
        <f t="shared" si="1"/>
        <v>12400</v>
      </c>
      <c r="J11" s="131">
        <f t="shared" si="2"/>
        <v>49600</v>
      </c>
      <c r="K11" s="144">
        <f t="shared" si="3"/>
        <v>30</v>
      </c>
      <c r="L11" s="145">
        <f t="shared" si="4"/>
        <v>2000</v>
      </c>
      <c r="M11" s="146">
        <f t="shared" si="5"/>
        <v>12880</v>
      </c>
      <c r="N11" s="134">
        <f t="shared" si="6"/>
        <v>49120</v>
      </c>
      <c r="O11" s="135"/>
      <c r="P11" s="134">
        <f t="shared" si="7"/>
        <v>49120</v>
      </c>
      <c r="Q11" s="135"/>
      <c r="R11" s="134">
        <f t="shared" si="8"/>
        <v>62000</v>
      </c>
      <c r="S11" s="104"/>
      <c r="T11" s="104"/>
      <c r="U11" s="119"/>
      <c r="V11" s="106"/>
      <c r="W11" s="104"/>
      <c r="X11" s="109" t="str">
        <f t="shared" si="9"/>
        <v>未填写身份证号码</v>
      </c>
      <c r="Y11" s="136" t="str">
        <f>IF(SUMPRODUCT(N(E$1:E$14=E11))&gt;1,"重复","不")</f>
        <v>重复</v>
      </c>
      <c r="Z11" s="56" t="str">
        <f>IF(SUMPRODUCT(N(U$2:U$13=U11))&gt;1,"重复","不")</f>
        <v>重复</v>
      </c>
    </row>
    <row r="12" s="57" customFormat="1" spans="1:26">
      <c r="A12" s="114">
        <v>9</v>
      </c>
      <c r="B12" s="72"/>
      <c r="C12" s="106"/>
      <c r="D12" s="72"/>
      <c r="E12" s="74"/>
      <c r="F12" s="115" t="e">
        <f t="shared" si="0"/>
        <v>#VALUE!</v>
      </c>
      <c r="G12" s="116"/>
      <c r="H12" s="117">
        <v>65000</v>
      </c>
      <c r="I12" s="131">
        <f t="shared" si="1"/>
        <v>13000</v>
      </c>
      <c r="J12" s="131">
        <f t="shared" si="2"/>
        <v>52000</v>
      </c>
      <c r="K12" s="144">
        <f t="shared" si="3"/>
        <v>40</v>
      </c>
      <c r="L12" s="145">
        <f t="shared" si="4"/>
        <v>7000</v>
      </c>
      <c r="M12" s="146">
        <f t="shared" si="5"/>
        <v>13800</v>
      </c>
      <c r="N12" s="134">
        <f t="shared" si="6"/>
        <v>51200</v>
      </c>
      <c r="O12" s="135"/>
      <c r="P12" s="134">
        <f t="shared" si="7"/>
        <v>51200</v>
      </c>
      <c r="Q12" s="135"/>
      <c r="R12" s="134">
        <f t="shared" si="8"/>
        <v>65000</v>
      </c>
      <c r="S12" s="104"/>
      <c r="T12" s="104"/>
      <c r="U12" s="119"/>
      <c r="V12" s="106"/>
      <c r="W12" s="104"/>
      <c r="X12" s="109" t="str">
        <f t="shared" si="9"/>
        <v>未填写身份证号码</v>
      </c>
      <c r="Y12" s="136" t="str">
        <f>IF(SUMPRODUCT(N(E$1:E$14=E12))&gt;1,"重复","不")</f>
        <v>重复</v>
      </c>
      <c r="Z12" s="56" t="str">
        <f>IF(SUMPRODUCT(N(U$2:U$13=U12))&gt;1,"重复","不")</f>
        <v>重复</v>
      </c>
    </row>
    <row r="13" s="57" customFormat="1" spans="1:26">
      <c r="A13" s="114">
        <v>10</v>
      </c>
      <c r="B13" s="72"/>
      <c r="C13" s="106"/>
      <c r="D13" s="72"/>
      <c r="E13" s="74"/>
      <c r="F13" s="115" t="e">
        <f t="shared" si="0"/>
        <v>#VALUE!</v>
      </c>
      <c r="G13" s="116"/>
      <c r="H13" s="117">
        <v>1000000</v>
      </c>
      <c r="I13" s="131">
        <f t="shared" si="1"/>
        <v>200000</v>
      </c>
      <c r="J13" s="131">
        <f t="shared" si="2"/>
        <v>800000</v>
      </c>
      <c r="K13" s="144">
        <f t="shared" si="3"/>
        <v>40</v>
      </c>
      <c r="L13" s="145">
        <f t="shared" si="4"/>
        <v>7000</v>
      </c>
      <c r="M13" s="146">
        <f t="shared" si="5"/>
        <v>313000</v>
      </c>
      <c r="N13" s="134">
        <f t="shared" si="6"/>
        <v>687000</v>
      </c>
      <c r="O13" s="135"/>
      <c r="P13" s="134">
        <f t="shared" si="7"/>
        <v>687000</v>
      </c>
      <c r="Q13" s="135"/>
      <c r="R13" s="134">
        <f t="shared" si="8"/>
        <v>1000000</v>
      </c>
      <c r="S13" s="104"/>
      <c r="T13" s="104"/>
      <c r="U13" s="119"/>
      <c r="V13" s="106"/>
      <c r="W13" s="104"/>
      <c r="X13" s="109" t="str">
        <f t="shared" si="9"/>
        <v>未填写身份证号码</v>
      </c>
      <c r="Y13" s="136" t="str">
        <f>IF(SUMPRODUCT(N(E$1:E$14=E13))&gt;1,"重复","不")</f>
        <v>重复</v>
      </c>
      <c r="Z13" s="56" t="str">
        <f>IF(SUMPRODUCT(N(U$2:U$13=U13))&gt;1,"重复","不")</f>
        <v>重复</v>
      </c>
    </row>
    <row r="14" s="57" customFormat="1" spans="1:26">
      <c r="A14" s="114">
        <v>12</v>
      </c>
      <c r="B14" s="72"/>
      <c r="C14" s="118"/>
      <c r="D14" s="72"/>
      <c r="E14" s="119"/>
      <c r="F14" s="115" t="e">
        <f t="shared" si="0"/>
        <v>#VALUE!</v>
      </c>
      <c r="G14" s="116"/>
      <c r="H14" s="117">
        <v>80000</v>
      </c>
      <c r="I14" s="131">
        <f t="shared" si="1"/>
        <v>16000</v>
      </c>
      <c r="J14" s="131">
        <f t="shared" si="2"/>
        <v>64000</v>
      </c>
      <c r="K14" s="144">
        <f t="shared" si="3"/>
        <v>40</v>
      </c>
      <c r="L14" s="145">
        <f t="shared" si="4"/>
        <v>7000</v>
      </c>
      <c r="M14" s="146">
        <f t="shared" si="5"/>
        <v>18600</v>
      </c>
      <c r="N14" s="134">
        <f t="shared" si="6"/>
        <v>61400</v>
      </c>
      <c r="O14" s="135"/>
      <c r="P14" s="134">
        <f t="shared" si="7"/>
        <v>61400</v>
      </c>
      <c r="Q14" s="135"/>
      <c r="R14" s="134">
        <f t="shared" si="8"/>
        <v>80000</v>
      </c>
      <c r="S14" s="104"/>
      <c r="T14" s="104"/>
      <c r="U14" s="119"/>
      <c r="V14" s="106"/>
      <c r="W14" s="104"/>
      <c r="X14" s="109" t="str">
        <f t="shared" si="9"/>
        <v>未填写身份证号码</v>
      </c>
      <c r="Y14" s="136" t="str">
        <f>IF(SUMPRODUCT(N(E$1:E$14=E14))&gt;1,"重复","不")</f>
        <v>重复</v>
      </c>
      <c r="Z14" s="56" t="str">
        <f>IF(SUMPRODUCT(N(U$2:U$13=U14))&gt;1,"重复","不")</f>
        <v>重复</v>
      </c>
    </row>
    <row r="15" spans="1:26">
      <c r="A15" s="120" t="s">
        <v>97</v>
      </c>
      <c r="B15" s="120"/>
      <c r="C15" s="120"/>
      <c r="D15" s="121"/>
      <c r="E15" s="80"/>
      <c r="F15" s="80"/>
      <c r="G15" s="80"/>
      <c r="H15" s="122">
        <f>SUM(H4:H14)</f>
        <v>1252200</v>
      </c>
      <c r="I15" s="122">
        <f>SUM(I4:I14)</f>
        <v>253040</v>
      </c>
      <c r="J15" s="122">
        <f>SUM(J4:J14)</f>
        <v>999660</v>
      </c>
      <c r="K15" s="122"/>
      <c r="L15" s="122">
        <f t="shared" ref="L15:R15" si="10">SUM(L4:L14)</f>
        <v>25000</v>
      </c>
      <c r="M15" s="122">
        <f t="shared" si="10"/>
        <v>365172</v>
      </c>
      <c r="N15" s="122">
        <f t="shared" si="10"/>
        <v>887028</v>
      </c>
      <c r="O15" s="122">
        <f t="shared" si="10"/>
        <v>0</v>
      </c>
      <c r="P15" s="122">
        <f t="shared" si="10"/>
        <v>887028</v>
      </c>
      <c r="Q15" s="122">
        <f t="shared" si="10"/>
        <v>50</v>
      </c>
      <c r="R15" s="122">
        <f t="shared" si="10"/>
        <v>1252250</v>
      </c>
      <c r="S15" s="80"/>
      <c r="T15" s="80"/>
      <c r="U15" s="137"/>
      <c r="V15" s="80"/>
      <c r="W15" s="80"/>
      <c r="X15" s="80"/>
      <c r="Y15" s="80"/>
      <c r="Z15" s="80"/>
    </row>
    <row r="16" spans="1:18">
      <c r="A16" s="81"/>
      <c r="B16" s="81"/>
      <c r="C16" s="82"/>
      <c r="D16" s="83"/>
      <c r="H16" s="82"/>
      <c r="I16" s="82"/>
      <c r="J16" s="82"/>
      <c r="K16" s="147"/>
      <c r="L16" s="82"/>
      <c r="M16" s="82"/>
      <c r="N16" s="82"/>
      <c r="O16" s="82"/>
      <c r="P16" s="82"/>
      <c r="Q16" s="82"/>
      <c r="R16" s="82"/>
    </row>
    <row r="17" spans="1:18">
      <c r="A17" s="81"/>
      <c r="B17" s="81"/>
      <c r="C17" s="82"/>
      <c r="D17" s="83"/>
      <c r="H17" s="82"/>
      <c r="I17" s="82"/>
      <c r="J17" s="82"/>
      <c r="K17" s="147"/>
      <c r="L17" s="82"/>
      <c r="M17" s="82"/>
      <c r="N17" s="82"/>
      <c r="O17" s="82"/>
      <c r="P17" s="82"/>
      <c r="Q17" s="82"/>
      <c r="R17" s="82"/>
    </row>
    <row r="18" s="11" customFormat="1" spans="1:11">
      <c r="A18" s="32" t="s">
        <v>100</v>
      </c>
      <c r="B18" s="33" t="s">
        <v>101</v>
      </c>
      <c r="C18" s="31"/>
      <c r="D18" s="31"/>
      <c r="E18" s="31"/>
      <c r="G18" s="12"/>
      <c r="K18" s="148"/>
    </row>
    <row r="19" s="11" customFormat="1" spans="1:11">
      <c r="A19" s="34"/>
      <c r="B19" s="35" t="s">
        <v>102</v>
      </c>
      <c r="C19" s="31"/>
      <c r="D19" s="31"/>
      <c r="E19" s="31"/>
      <c r="G19" s="12"/>
      <c r="K19" s="148"/>
    </row>
    <row r="20" s="11" customFormat="1" spans="1:15">
      <c r="A20" s="33"/>
      <c r="B20" s="35" t="s">
        <v>123</v>
      </c>
      <c r="C20" s="36"/>
      <c r="D20" s="36"/>
      <c r="E20" s="36"/>
      <c r="F20" s="36"/>
      <c r="G20" s="36"/>
      <c r="H20" s="36"/>
      <c r="I20" s="36"/>
      <c r="J20" s="36"/>
      <c r="K20" s="149"/>
      <c r="L20" s="36"/>
      <c r="M20" s="36"/>
      <c r="N20" s="36"/>
      <c r="O20" s="36"/>
    </row>
    <row r="21" s="11" customFormat="1" customHeight="1" spans="1:15">
      <c r="A21" s="35"/>
      <c r="B21" s="35" t="s">
        <v>104</v>
      </c>
      <c r="C21" s="37"/>
      <c r="D21" s="37"/>
      <c r="E21" s="37"/>
      <c r="F21" s="37"/>
      <c r="G21" s="37"/>
      <c r="H21" s="37"/>
      <c r="I21" s="38"/>
      <c r="J21" s="38"/>
      <c r="K21" s="150"/>
      <c r="L21" s="38"/>
      <c r="M21" s="38"/>
      <c r="N21" s="38"/>
      <c r="O21" s="38"/>
    </row>
    <row r="22" s="11" customFormat="1" customHeight="1" spans="1:15">
      <c r="A22" s="35"/>
      <c r="B22" s="35" t="s">
        <v>105</v>
      </c>
      <c r="C22" s="37"/>
      <c r="D22" s="37"/>
      <c r="E22" s="37"/>
      <c r="F22" s="37"/>
      <c r="G22" s="37"/>
      <c r="H22" s="37"/>
      <c r="I22" s="37"/>
      <c r="J22" s="38"/>
      <c r="K22" s="150"/>
      <c r="L22" s="38"/>
      <c r="M22" s="38"/>
      <c r="N22" s="38"/>
      <c r="O22" s="38"/>
    </row>
    <row r="23" s="11" customFormat="1" customHeight="1" spans="1:15">
      <c r="A23" s="35"/>
      <c r="B23" s="35" t="s">
        <v>106</v>
      </c>
      <c r="C23" s="37"/>
      <c r="D23" s="37"/>
      <c r="E23" s="37"/>
      <c r="F23" s="37"/>
      <c r="G23" s="37"/>
      <c r="H23" s="37"/>
      <c r="I23" s="38"/>
      <c r="J23" s="38"/>
      <c r="K23" s="150"/>
      <c r="L23" s="38"/>
      <c r="M23" s="38"/>
      <c r="N23" s="38"/>
      <c r="O23" s="38"/>
    </row>
    <row r="24" s="11" customFormat="1" customHeight="1" spans="1:15">
      <c r="A24" s="35"/>
      <c r="B24" s="35"/>
      <c r="C24" s="37"/>
      <c r="D24" s="37"/>
      <c r="E24" s="37"/>
      <c r="F24" s="37"/>
      <c r="G24" s="37"/>
      <c r="H24" s="37"/>
      <c r="I24" s="38"/>
      <c r="J24" s="38"/>
      <c r="K24" s="150"/>
      <c r="L24" s="38"/>
      <c r="M24" s="38"/>
      <c r="N24" s="38"/>
      <c r="O24" s="38"/>
    </row>
    <row r="25" s="57" customFormat="1" spans="1:21">
      <c r="A25" s="123"/>
      <c r="B25" s="124" t="s">
        <v>107</v>
      </c>
      <c r="C25" s="60"/>
      <c r="D25" s="61"/>
      <c r="E25" s="60"/>
      <c r="F25" s="60"/>
      <c r="G25" s="60"/>
      <c r="H25" s="60"/>
      <c r="I25" s="60"/>
      <c r="J25" s="60"/>
      <c r="K25" s="139"/>
      <c r="L25" s="60"/>
      <c r="M25" s="60"/>
      <c r="N25" s="60"/>
      <c r="O25" s="60"/>
      <c r="P25" s="60"/>
      <c r="Q25" s="60"/>
      <c r="R25" s="60"/>
      <c r="S25" s="60"/>
      <c r="T25" s="60"/>
      <c r="U25" s="63"/>
    </row>
    <row r="26" s="111" customFormat="1" ht="12" spans="1:21">
      <c r="A26" s="123"/>
      <c r="B26" s="140" t="s">
        <v>124</v>
      </c>
      <c r="C26" s="140"/>
      <c r="D26" s="141"/>
      <c r="E26" s="127"/>
      <c r="F26" s="127"/>
      <c r="G26" s="127"/>
      <c r="H26" s="127"/>
      <c r="I26" s="127"/>
      <c r="J26" s="127"/>
      <c r="K26" s="151"/>
      <c r="L26" s="127"/>
      <c r="M26" s="127"/>
      <c r="N26" s="127"/>
      <c r="O26" s="127"/>
      <c r="P26" s="127"/>
      <c r="Q26" s="127"/>
      <c r="R26" s="127"/>
      <c r="S26" s="127"/>
      <c r="T26" s="127"/>
      <c r="U26" s="138"/>
    </row>
    <row r="27" s="111" customFormat="1" ht="12" spans="1:21">
      <c r="A27" s="123"/>
      <c r="B27" s="140" t="s">
        <v>125</v>
      </c>
      <c r="C27" s="140"/>
      <c r="D27" s="141"/>
      <c r="E27" s="127"/>
      <c r="F27" s="127"/>
      <c r="G27" s="127"/>
      <c r="H27" s="127"/>
      <c r="I27" s="127"/>
      <c r="J27" s="127"/>
      <c r="K27" s="151"/>
      <c r="L27" s="127"/>
      <c r="M27" s="127"/>
      <c r="N27" s="127"/>
      <c r="O27" s="127"/>
      <c r="P27" s="127"/>
      <c r="Q27" s="127"/>
      <c r="R27" s="127"/>
      <c r="S27" s="127"/>
      <c r="T27" s="127"/>
      <c r="U27" s="138"/>
    </row>
    <row r="28" s="111" customFormat="1" ht="12" spans="1:21">
      <c r="A28" s="123"/>
      <c r="B28" s="140" t="s">
        <v>126</v>
      </c>
      <c r="C28" s="140"/>
      <c r="D28" s="141"/>
      <c r="E28" s="127"/>
      <c r="F28" s="127"/>
      <c r="G28" s="127"/>
      <c r="H28" s="127"/>
      <c r="I28" s="127"/>
      <c r="J28" s="127"/>
      <c r="K28" s="151"/>
      <c r="L28" s="127"/>
      <c r="M28" s="127"/>
      <c r="N28" s="127"/>
      <c r="O28" s="127"/>
      <c r="P28" s="127"/>
      <c r="Q28" s="127"/>
      <c r="R28" s="127"/>
      <c r="S28" s="127"/>
      <c r="T28" s="127"/>
      <c r="U28" s="138"/>
    </row>
    <row r="29" s="111" customFormat="1" ht="12" spans="1:21">
      <c r="A29" s="123"/>
      <c r="B29" s="140" t="s">
        <v>127</v>
      </c>
      <c r="C29" s="140"/>
      <c r="D29" s="141"/>
      <c r="E29" s="127"/>
      <c r="F29" s="127"/>
      <c r="G29" s="127"/>
      <c r="H29" s="127"/>
      <c r="I29" s="127"/>
      <c r="J29" s="127"/>
      <c r="K29" s="151"/>
      <c r="L29" s="127"/>
      <c r="M29" s="127"/>
      <c r="N29" s="127"/>
      <c r="O29" s="127"/>
      <c r="P29" s="127"/>
      <c r="Q29" s="127"/>
      <c r="R29" s="127"/>
      <c r="S29" s="127"/>
      <c r="T29" s="127"/>
      <c r="U29" s="138"/>
    </row>
    <row r="30" s="111" customFormat="1" ht="12" spans="1:21">
      <c r="A30" s="123"/>
      <c r="B30" s="140" t="s">
        <v>128</v>
      </c>
      <c r="C30" s="140"/>
      <c r="D30" s="141"/>
      <c r="E30" s="127"/>
      <c r="F30" s="127"/>
      <c r="G30" s="127"/>
      <c r="H30" s="127"/>
      <c r="I30" s="127"/>
      <c r="J30" s="127"/>
      <c r="K30" s="151"/>
      <c r="L30" s="127"/>
      <c r="M30" s="127"/>
      <c r="N30" s="127"/>
      <c r="O30" s="127"/>
      <c r="P30" s="127"/>
      <c r="Q30" s="127"/>
      <c r="R30" s="127"/>
      <c r="S30" s="127"/>
      <c r="T30" s="127"/>
      <c r="U30" s="138"/>
    </row>
    <row r="31" s="111" customFormat="1" ht="12" spans="1:21">
      <c r="A31" s="123"/>
      <c r="B31" s="140"/>
      <c r="C31" s="140"/>
      <c r="D31" s="141"/>
      <c r="E31" s="127"/>
      <c r="F31" s="127"/>
      <c r="G31" s="127"/>
      <c r="H31" s="127"/>
      <c r="I31" s="127"/>
      <c r="J31" s="127"/>
      <c r="K31" s="151"/>
      <c r="L31" s="127"/>
      <c r="M31" s="127"/>
      <c r="N31" s="127"/>
      <c r="O31" s="127"/>
      <c r="P31" s="127"/>
      <c r="Q31" s="127"/>
      <c r="R31" s="127"/>
      <c r="S31" s="127"/>
      <c r="T31" s="127"/>
      <c r="U31" s="138"/>
    </row>
    <row r="32" s="111" customFormat="1" ht="11.25" spans="1:21">
      <c r="A32" s="127"/>
      <c r="B32" s="124" t="s">
        <v>129</v>
      </c>
      <c r="C32" s="125"/>
      <c r="D32" s="126"/>
      <c r="E32" s="127"/>
      <c r="F32" s="127"/>
      <c r="G32" s="127"/>
      <c r="H32" s="127"/>
      <c r="I32" s="127"/>
      <c r="J32" s="127"/>
      <c r="K32" s="151"/>
      <c r="L32" s="127"/>
      <c r="M32" s="127"/>
      <c r="N32" s="127"/>
      <c r="O32" s="127"/>
      <c r="P32" s="127"/>
      <c r="Q32" s="127"/>
      <c r="R32" s="127"/>
      <c r="S32" s="127"/>
      <c r="T32" s="127"/>
      <c r="U32" s="138"/>
    </row>
    <row r="33" s="111" customFormat="1" ht="11.25" spans="1:21">
      <c r="A33" s="127"/>
      <c r="B33" s="128" t="s">
        <v>130</v>
      </c>
      <c r="C33" s="128"/>
      <c r="D33" s="126"/>
      <c r="E33" s="127"/>
      <c r="F33" s="127"/>
      <c r="G33" s="127"/>
      <c r="H33" s="127"/>
      <c r="I33" s="127"/>
      <c r="J33" s="127"/>
      <c r="K33" s="151"/>
      <c r="L33" s="127"/>
      <c r="M33" s="127"/>
      <c r="N33" s="127"/>
      <c r="O33" s="127"/>
      <c r="P33" s="127"/>
      <c r="Q33" s="127"/>
      <c r="R33" s="127"/>
      <c r="S33" s="127"/>
      <c r="T33" s="127"/>
      <c r="U33" s="138"/>
    </row>
    <row r="34" s="111" customFormat="1" ht="11.25" spans="1:21">
      <c r="A34" s="127"/>
      <c r="B34" s="128" t="s">
        <v>131</v>
      </c>
      <c r="C34" s="128"/>
      <c r="D34" s="126"/>
      <c r="E34" s="127"/>
      <c r="F34" s="127"/>
      <c r="G34" s="127"/>
      <c r="H34" s="127"/>
      <c r="I34" s="127"/>
      <c r="J34" s="127"/>
      <c r="K34" s="151"/>
      <c r="L34" s="127"/>
      <c r="M34" s="127"/>
      <c r="N34" s="127"/>
      <c r="O34" s="127"/>
      <c r="P34" s="127"/>
      <c r="Q34" s="127"/>
      <c r="R34" s="127"/>
      <c r="S34" s="127"/>
      <c r="T34" s="127"/>
      <c r="U34" s="138"/>
    </row>
    <row r="35" s="111" customFormat="1" ht="11.25" spans="1:21">
      <c r="A35" s="127"/>
      <c r="B35" s="128"/>
      <c r="C35" s="128"/>
      <c r="D35" s="126"/>
      <c r="E35" s="127"/>
      <c r="F35" s="127"/>
      <c r="G35" s="127"/>
      <c r="H35" s="127"/>
      <c r="I35" s="127"/>
      <c r="J35" s="127"/>
      <c r="K35" s="151"/>
      <c r="L35" s="127"/>
      <c r="M35" s="127"/>
      <c r="N35" s="127"/>
      <c r="O35" s="127"/>
      <c r="P35" s="127"/>
      <c r="Q35" s="127"/>
      <c r="R35" s="127"/>
      <c r="S35" s="127"/>
      <c r="T35" s="127"/>
      <c r="U35" s="138"/>
    </row>
  </sheetData>
  <mergeCells count="26"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N3"/>
    <mergeCell ref="O2:O3"/>
    <mergeCell ref="P2:P3"/>
    <mergeCell ref="Q2:Q3"/>
    <mergeCell ref="R2:R3"/>
    <mergeCell ref="S2:S3"/>
    <mergeCell ref="T2:T3"/>
    <mergeCell ref="U2:U3"/>
    <mergeCell ref="V2:V3"/>
    <mergeCell ref="W2:W3"/>
    <mergeCell ref="X2:X3"/>
    <mergeCell ref="Y2:Y3"/>
    <mergeCell ref="Z2:Z3"/>
  </mergeCells>
  <pageMargins left="0.25" right="0.25" top="0.75" bottom="0.75" header="0.511805555555555" footer="0.511805555555555"/>
  <pageSetup paperSize="9" firstPageNumber="0" orientation="landscape" useFirstPageNumber="1" horizontalDpi="300" verticalDpi="300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LibreOffice/6.2.1.2$Windows_X86_64 LibreOffice_project/7bcb35dc3024a62dea0caee87020152d1ee96e71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（居民）工资表-2103月</vt:lpstr>
      <vt:lpstr>Sheet4</vt:lpstr>
      <vt:lpstr>Sheet5</vt:lpstr>
      <vt:lpstr>Sheet6</vt:lpstr>
      <vt:lpstr>Sheet7</vt:lpstr>
      <vt:lpstr>Sheet8</vt:lpstr>
      <vt:lpstr>Sheet9</vt:lpstr>
      <vt:lpstr>Sheet10</vt:lpstr>
      <vt:lpstr>（居民）劳务费</vt:lpstr>
      <vt:lpstr>（居民）稿酬</vt:lpstr>
      <vt:lpstr>（居民）特许权使用费</vt:lpstr>
      <vt:lpstr>（居民）年终奖</vt:lpstr>
      <vt:lpstr>（非居民）综合所得工资表</vt:lpstr>
      <vt:lpstr>税率表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AutoBVT</dc:creator>
  <cp:lastModifiedBy>杨霞</cp:lastModifiedBy>
  <cp:revision>2</cp:revision>
  <dcterms:created xsi:type="dcterms:W3CDTF">2018-08-01T08:19:00Z</dcterms:created>
  <cp:lastPrinted>2018-12-28T01:29:00Z</cp:lastPrinted>
  <dcterms:modified xsi:type="dcterms:W3CDTF">2021-03-08T03:53:55Z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mpany">
    <vt:lpwstr>china</vt:lpwstr>
  </property>
  <property fmtid="{D5CDD505-2E9C-101B-9397-08002B2CF9AE}" pid="3" name="KSOProductBuildVer">
    <vt:lpwstr>2052-11.1.0.10314</vt:lpwstr>
  </property>
  <property fmtid="{D5CDD505-2E9C-101B-9397-08002B2CF9AE}" pid="4" name="KSORubyTemplateID">
    <vt:lpwstr>1</vt:lpwstr>
  </property>
</Properties>
</file>