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417" firstSheet="1" activeTab="1"/>
  </bookViews>
  <sheets>
    <sheet name="（居民）工资表-1月" sheetId="1" state="hidden" r:id="rId1"/>
    <sheet name="付款通知" sheetId="26" r:id="rId2"/>
    <sheet name="（居民）工资表-2月" sheetId="15" state="hidden" r:id="rId3"/>
    <sheet name="（居民）工资表-3月" sheetId="16" r:id="rId4"/>
    <sheet name="（居民）工资表-4月" sheetId="17" state="hidden" r:id="rId5"/>
    <sheet name="（居民）工资表-5月" sheetId="18" state="hidden" r:id="rId6"/>
    <sheet name="（居民）工资表-6月" sheetId="19" state="hidden" r:id="rId7"/>
    <sheet name="（居民）工资表-7月" sheetId="20" state="hidden" r:id="rId8"/>
    <sheet name="（居民）工资表-8月" sheetId="21" state="hidden" r:id="rId9"/>
    <sheet name="（居民）工资表-9月" sheetId="22" state="hidden" r:id="rId10"/>
    <sheet name="（居民）工资表-10月" sheetId="23" state="hidden" r:id="rId11"/>
    <sheet name="（居民）工资表-11月" sheetId="24" state="hidden" r:id="rId12"/>
    <sheet name="（居民）工资表-12月" sheetId="25" state="hidden" r:id="rId13"/>
    <sheet name="Sheet1" sheetId="14" state="hidden" r:id="rId14"/>
  </sheets>
  <definedNames>
    <definedName name="_xlnm._FilterDatabase" localSheetId="0" hidden="1">'（居民）工资表-1月'!$A$3:$AT$6</definedName>
    <definedName name="_xlnm._FilterDatabase" localSheetId="2" hidden="1">'（居民）工资表-2月'!$A$3:$AT$6</definedName>
    <definedName name="_xlnm._FilterDatabase" localSheetId="3" hidden="1">'（居民）工资表-3月'!$A$3:$AT$6</definedName>
    <definedName name="_xlnm._FilterDatabase" localSheetId="4" hidden="1">'（居民）工资表-4月'!$A$3:$AT$24</definedName>
    <definedName name="_xlnm._FilterDatabase" localSheetId="5" hidden="1">'（居民）工资表-5月'!$A$3:$AT$24</definedName>
    <definedName name="_xlnm._FilterDatabase" localSheetId="6" hidden="1">'（居民）工资表-6月'!$A$3:$AT$24</definedName>
    <definedName name="_xlnm._FilterDatabase" localSheetId="7" hidden="1">'（居民）工资表-7月'!$A$3:$AT$24</definedName>
    <definedName name="_xlnm._FilterDatabase" localSheetId="8" hidden="1">'（居民）工资表-8月'!$A$3:$AT$24</definedName>
    <definedName name="_xlnm._FilterDatabase" localSheetId="9" hidden="1">'（居民）工资表-9月'!$A$3:$AT$24</definedName>
    <definedName name="_xlnm._FilterDatabase" localSheetId="10" hidden="1">'（居民）工资表-10月'!$A$3:$AT$24</definedName>
    <definedName name="_xlnm._FilterDatabase" localSheetId="11" hidden="1">'（居民）工资表-11月'!$A$3:$AT$24</definedName>
    <definedName name="_xlnm._FilterDatabase" localSheetId="12" hidden="1">'（居民）工资表-12月'!$A$3:$AT$24</definedName>
    <definedName name="_xlnm.Print_Area" localSheetId="10">'（居民）工资表-10月'!$A$1:$AT$30</definedName>
    <definedName name="_xlnm.Print_Area" localSheetId="11">'（居民）工资表-11月'!$A$1:$AT$30</definedName>
    <definedName name="_xlnm.Print_Area" localSheetId="12">'（居民）工资表-12月'!$A$1:$AT$30</definedName>
    <definedName name="_xlnm.Print_Area" localSheetId="0">'（居民）工资表-1月'!$A$1:$AT$12</definedName>
    <definedName name="_xlnm.Print_Area" localSheetId="2">'（居民）工资表-2月'!$A$1:$AT$12</definedName>
    <definedName name="_xlnm.Print_Area" localSheetId="3">'（居民）工资表-3月'!$A$1:$AT$12</definedName>
    <definedName name="_xlnm.Print_Area" localSheetId="4">'（居民）工资表-4月'!$A$1:$AT$30</definedName>
    <definedName name="_xlnm.Print_Area" localSheetId="5">'（居民）工资表-5月'!$A$1:$AT$30</definedName>
    <definedName name="_xlnm.Print_Area" localSheetId="6">'（居民）工资表-6月'!$A$1:$AT$30</definedName>
    <definedName name="_xlnm.Print_Area" localSheetId="7">'（居民）工资表-7月'!$A$1:$AT$30</definedName>
    <definedName name="_xlnm.Print_Area" localSheetId="8">'（居民）工资表-8月'!$A$1:$AT$30</definedName>
    <definedName name="_xlnm.Print_Area" localSheetId="9">'（居民）工资表-9月'!$A$1:$AT$30</definedName>
  </definedNames>
  <calcPr calcId="144525"/>
</workbook>
</file>

<file path=xl/comments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<sst xmlns="http://schemas.openxmlformats.org/spreadsheetml/2006/main" count="1410" uniqueCount="159">
  <si>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</si>
  <si>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</si>
  <si>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</si>
  <si>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</si>
  <si>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</si>
  <si>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</si>
  <si>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</si>
  <si>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</si>
  <si>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</si>
  <si>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</si>
  <si>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</si>
  <si>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</si>
  <si>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</si>
  <si>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</si>
  <si>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</si>
  <si>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</si>
  <si>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</si>
  <si>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</si>
  <si>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</si>
  <si>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</si>
  <si>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</si>
  <si>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</si>
  <si>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</si>
  <si>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</si>
  <si>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</si>
  <si>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</si>
  <si>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</si>
  <si>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</si>
  <si>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</si>
  <si>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</si>
  <si>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</si>
  <si>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</si>
  <si>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</si>
  <si>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</si>
  <si>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</si>
  <si>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</si>
  <si>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</si>
  <si>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</si>
  <si>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</si>
  <si>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</si>
  <si>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</si>
  <si>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</si>
  <si>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</si>
  <si>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</si>
  <si>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</si>
  <si>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</si>
  <si>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</si>
  <si>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</si>
  <si>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</si>
  <si>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</si>
  <si>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</t>
  </si>
  <si>
    <t>赵强</t>
  </si>
  <si>
    <t>身份证</t>
  </si>
  <si>
    <t>142732199004126819</t>
  </si>
  <si>
    <t>622848 0018992539579</t>
  </si>
  <si>
    <t>中国农业银行北京永丰路支行</t>
  </si>
  <si>
    <t>农行</t>
  </si>
  <si>
    <t>冯月燕</t>
  </si>
  <si>
    <t>440602197506030928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</si>
  <si>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</si>
  <si>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</si>
  <si>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</si>
  <si>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</si>
  <si>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</si>
  <si>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</si>
  <si>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</si>
  <si>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</si>
  <si>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</si>
  <si>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</si>
  <si>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</si>
  <si>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</si>
  <si>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</si>
  <si>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付款通知书</t>
  </si>
  <si>
    <t>尊敬的客户：北京创联致信科技有限公司</t>
  </si>
  <si>
    <t>根据贵公司与我公司所签订的服务协议，请贵公司在2021年3月9日之前按照下列表格内容支付相关款项.</t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</si>
  <si>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</si>
  <si>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</si>
  <si>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</si>
  <si>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</si>
  <si>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</si>
  <si>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开户银行：中国工商银行股份有限公司北京商务中心区支行</t>
  </si>
  <si>
    <t>本期款项合计：</t>
  </si>
  <si>
    <t>尾数调整：</t>
  </si>
  <si>
    <t>银行账号：0200080609200135470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</si>
  <si>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</si>
  <si>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</si>
  <si>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</si>
  <si>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</si>
  <si>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</si>
  <si>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</si>
  <si>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</si>
  <si>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</si>
  <si>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</si>
  <si>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</si>
  <si>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</si>
  <si>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</si>
  <si>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</si>
  <si>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</si>
  <si>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</si>
  <si>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</si>
  <si>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</si>
  <si>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</si>
  <si>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</si>
  <si>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</si>
  <si>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</si>
  <si>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历史结余</t>
  </si>
  <si>
    <t>合计:</t>
  </si>
  <si>
    <t>开票金额:</t>
  </si>
  <si>
    <t>XX公司</t>
  </si>
  <si>
    <t>430102197608240521</t>
  </si>
  <si>
    <t>411324199504212820</t>
  </si>
  <si>
    <t>220221199007200094</t>
  </si>
  <si>
    <t>411224197103091429</t>
  </si>
  <si>
    <t>142625199110093943</t>
  </si>
  <si>
    <t>14262519910503392X</t>
  </si>
  <si>
    <t>130681199505252811</t>
  </si>
  <si>
    <t>142326199103087334</t>
  </si>
  <si>
    <t>131022198910072017</t>
  </si>
  <si>
    <t>110106199703296320</t>
  </si>
  <si>
    <t>140121199705148224</t>
  </si>
  <si>
    <t>222601200102132811</t>
  </si>
  <si>
    <t>220122199202174654</t>
  </si>
  <si>
    <t>372930198707283710</t>
  </si>
  <si>
    <t>21120219961028451x</t>
  </si>
  <si>
    <t>13053319870424141X</t>
  </si>
  <si>
    <t>110106196306231511</t>
  </si>
  <si>
    <t>130821199502194219</t>
  </si>
  <si>
    <t>13072219990325632x</t>
  </si>
  <si>
    <t>130726198312042822</t>
  </si>
  <si>
    <t>110108199706205431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</si>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</sst>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4">
    <numFmt numFmtId="176" formatCode="&quot;$&quot;0_ "/>
    <numFmt numFmtId="177" formatCode="&quot;$&quot;#,##0_ ;[Red]\-&quot;$&quot;#,##0_ "/>
    <numFmt numFmtId="178" formatCode="#,##0.00_);[Red]\(#,##0.00\)"/>
    <numFmt numFmtId="179" formatCode="0.00_);[Red]\(0.00\)"/>
    <numFmt numFmtId="180" formatCode="0_);[Red]\(0\)"/>
    <numFmt numFmtId="43" formatCode="_ * #,##0.00_ ;_ * \-#,##0.00_ ;_ * &quot;-&quot;??_ ;_ @_ "/>
    <numFmt numFmtId="181" formatCode="0.00_ "/>
    <numFmt numFmtId="182" formatCode="General\ &quot;年&quot;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83" formatCode="[DBNum2][$-804]General"/>
    <numFmt numFmtId="184" formatCode="#,##0_);[Red]\(#,##0\)"/>
    <numFmt numFmtId="185" formatCode="0.00_);\(0.00\)"/>
  </numFmts>
  <fonts count="99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Geneva"/>
      <charset val="134"/>
    </font>
    <font>
      <i/>
      <sz val="11"/>
      <color indexed="23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9"/>
      <name val="宋体"/>
      <charset val="134"/>
    </font>
    <font>
      <sz val="12"/>
      <color indexed="8"/>
      <name val="Verdana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0"/>
      <color indexed="8"/>
      <name val="Arial"/>
      <charset val="134"/>
    </font>
    <font>
      <sz val="10"/>
      <name val="Helv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8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39" fillId="0" borderId="0">
      <alignment vertical="center"/>
    </xf>
    <xf numFmtId="0" fontId="66" fillId="27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75" fillId="38" borderId="41" applyNumberFormat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6" fillId="41" borderId="0" applyNumberFormat="0" applyBorder="0" applyAlignment="0" applyProtection="0">
      <alignment vertical="center"/>
    </xf>
    <xf numFmtId="0" fontId="58" fillId="9" borderId="3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5" fillId="0" borderId="0"/>
    <xf numFmtId="0" fontId="62" fillId="21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0" fillId="31" borderId="45" applyNumberFormat="0" applyFont="0" applyAlignment="0" applyProtection="0">
      <alignment vertical="center"/>
    </xf>
    <xf numFmtId="0" fontId="6" fillId="0" borderId="0">
      <alignment vertical="center"/>
    </xf>
    <xf numFmtId="0" fontId="57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1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2" fillId="0" borderId="44" applyNumberFormat="0" applyFill="0" applyAlignment="0" applyProtection="0">
      <alignment vertical="center"/>
    </xf>
    <xf numFmtId="0" fontId="81" fillId="0" borderId="0"/>
    <xf numFmtId="0" fontId="85" fillId="0" borderId="44" applyNumberFormat="0" applyFill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70" fillId="0" borderId="43" applyNumberFormat="0" applyFill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83" fillId="26" borderId="49" applyNumberFormat="0" applyAlignment="0" applyProtection="0">
      <alignment vertical="center"/>
    </xf>
    <xf numFmtId="0" fontId="67" fillId="26" borderId="41" applyNumberFormat="0" applyAlignment="0" applyProtection="0">
      <alignment vertical="center"/>
    </xf>
    <xf numFmtId="0" fontId="58" fillId="9" borderId="3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5" fillId="24" borderId="40" applyNumberFormat="0" applyAlignment="0" applyProtection="0">
      <alignment vertical="center"/>
    </xf>
    <xf numFmtId="0" fontId="55" fillId="0" borderId="0">
      <alignment vertical="center"/>
    </xf>
    <xf numFmtId="0" fontId="66" fillId="43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74" fillId="0" borderId="46" applyNumberFormat="0" applyFill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6" fillId="0" borderId="47" applyNumberFormat="0" applyFill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55" fillId="0" borderId="0">
      <alignment vertical="center"/>
    </xf>
    <xf numFmtId="0" fontId="66" fillId="46" borderId="0" applyNumberFormat="0" applyBorder="0" applyAlignment="0" applyProtection="0">
      <alignment vertical="center"/>
    </xf>
    <xf numFmtId="0" fontId="88" fillId="49" borderId="50" applyNumberFormat="0" applyAlignment="0" applyProtection="0">
      <alignment vertical="center"/>
    </xf>
    <xf numFmtId="0" fontId="55" fillId="0" borderId="0"/>
    <xf numFmtId="0" fontId="61" fillId="50" borderId="0" applyNumberFormat="0" applyBorder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9" fillId="0" borderId="0"/>
    <xf numFmtId="0" fontId="66" fillId="45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1" fillId="54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58" fillId="9" borderId="36" applyNumberFormat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58" fillId="9" borderId="36" applyNumberFormat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91" fillId="56" borderId="0" applyNumberFormat="0" applyBorder="0" applyAlignment="0" applyProtection="0">
      <alignment vertical="center"/>
    </xf>
    <xf numFmtId="0" fontId="58" fillId="9" borderId="36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1" fillId="5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9" fillId="0" borderId="0"/>
    <xf numFmtId="0" fontId="64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9" fillId="0" borderId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55" fillId="0" borderId="0">
      <alignment vertical="center"/>
    </xf>
    <xf numFmtId="0" fontId="39" fillId="0" borderId="0"/>
    <xf numFmtId="0" fontId="6" fillId="1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5" fillId="0" borderId="0"/>
    <xf numFmtId="0" fontId="6" fillId="0" borderId="0"/>
    <xf numFmtId="0" fontId="6" fillId="18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90" fillId="12" borderId="36" applyNumberFormat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/>
    <xf numFmtId="0" fontId="57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55" fillId="0" borderId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8" fillId="9" borderId="36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8" fillId="9" borderId="36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8" fillId="9" borderId="36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8" fillId="9" borderId="36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8" fillId="9" borderId="36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8" fillId="49" borderId="50" applyNumberFormat="0" applyAlignment="0" applyProtection="0">
      <alignment vertical="center"/>
    </xf>
    <xf numFmtId="0" fontId="58" fillId="9" borderId="36" applyNumberFormat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8" fillId="49" borderId="50" applyNumberFormat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0" fillId="12" borderId="36" applyNumberFormat="0" applyAlignment="0" applyProtection="0">
      <alignment vertical="center"/>
    </xf>
    <xf numFmtId="0" fontId="58" fillId="9" borderId="3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8" fillId="9" borderId="36" applyNumberFormat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0" fillId="12" borderId="36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1" fillId="56" borderId="0" applyNumberFormat="0" applyBorder="0" applyAlignment="0" applyProtection="0">
      <alignment vertical="center"/>
    </xf>
    <xf numFmtId="0" fontId="58" fillId="9" borderId="3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1" fillId="56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6" fillId="0" borderId="0">
      <alignment vertical="center"/>
    </xf>
    <xf numFmtId="0" fontId="5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1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5" fillId="0" borderId="0">
      <alignment vertical="center"/>
    </xf>
    <xf numFmtId="0" fontId="57" fillId="10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5" fillId="0" borderId="0">
      <alignment vertical="center"/>
    </xf>
    <xf numFmtId="0" fontId="57" fillId="40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57" fillId="17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181" fontId="6" fillId="0" borderId="0">
      <alignment vertical="center"/>
    </xf>
    <xf numFmtId="0" fontId="73" fillId="32" borderId="0" applyNumberFormat="0" applyBorder="0" applyAlignment="0" applyProtection="0">
      <alignment vertical="center"/>
    </xf>
    <xf numFmtId="9" fontId="6" fillId="0" borderId="0">
      <alignment vertical="center"/>
    </xf>
    <xf numFmtId="9" fontId="55" fillId="0" borderId="0" applyFont="0" applyFill="0" applyBorder="0" applyAlignment="0" applyProtection="0">
      <alignment vertical="center"/>
    </xf>
    <xf numFmtId="0" fontId="79" fillId="0" borderId="48" applyNumberFormat="0" applyFill="0" applyAlignment="0" applyProtection="0">
      <alignment vertical="center"/>
    </xf>
    <xf numFmtId="0" fontId="79" fillId="0" borderId="48" applyNumberFormat="0" applyFill="0" applyAlignment="0" applyProtection="0">
      <alignment vertical="center"/>
    </xf>
    <xf numFmtId="0" fontId="79" fillId="0" borderId="48" applyNumberFormat="0" applyFill="0" applyAlignment="0" applyProtection="0">
      <alignment vertical="center"/>
    </xf>
    <xf numFmtId="0" fontId="79" fillId="0" borderId="48" applyNumberFormat="0" applyFill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79" fillId="0" borderId="48" applyNumberFormat="0" applyFill="0" applyAlignment="0" applyProtection="0">
      <alignment vertical="center"/>
    </xf>
    <xf numFmtId="0" fontId="79" fillId="0" borderId="48" applyNumberFormat="0" applyFill="0" applyAlignment="0" applyProtection="0">
      <alignment vertical="center"/>
    </xf>
    <xf numFmtId="0" fontId="79" fillId="0" borderId="48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" fillId="0" borderId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93" fillId="0" borderId="0"/>
    <xf numFmtId="0" fontId="63" fillId="0" borderId="39" applyNumberFormat="0" applyFill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55" fillId="0" borderId="0">
      <alignment vertical="center"/>
    </xf>
    <xf numFmtId="0" fontId="6" fillId="0" borderId="0">
      <alignment vertical="center"/>
    </xf>
    <xf numFmtId="0" fontId="55" fillId="0" borderId="0"/>
    <xf numFmtId="0" fontId="55" fillId="0" borderId="0">
      <alignment vertical="center"/>
    </xf>
    <xf numFmtId="0" fontId="55" fillId="0" borderId="0">
      <alignment vertical="center"/>
    </xf>
    <xf numFmtId="0" fontId="5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89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90" fillId="12" borderId="36" applyNumberFormat="0" applyAlignment="0" applyProtection="0">
      <alignment vertical="center"/>
    </xf>
    <xf numFmtId="0" fontId="14" fillId="0" borderId="0">
      <alignment vertical="center"/>
    </xf>
    <xf numFmtId="0" fontId="90" fillId="12" borderId="36" applyNumberFormat="0" applyAlignment="0" applyProtection="0">
      <alignment vertical="center"/>
    </xf>
    <xf numFmtId="0" fontId="55" fillId="0" borderId="0">
      <alignment vertical="center"/>
    </xf>
    <xf numFmtId="0" fontId="15" fillId="0" borderId="0">
      <alignment vertical="center"/>
    </xf>
    <xf numFmtId="0" fontId="6" fillId="0" borderId="0"/>
    <xf numFmtId="0" fontId="90" fillId="12" borderId="36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57" fillId="40" borderId="0" applyNumberFormat="0" applyBorder="0" applyAlignment="0" applyProtection="0">
      <alignment vertical="center"/>
    </xf>
    <xf numFmtId="0" fontId="15" fillId="0" borderId="0">
      <alignment vertical="center"/>
    </xf>
    <xf numFmtId="0" fontId="57" fillId="40" borderId="0" applyNumberFormat="0" applyBorder="0" applyAlignment="0" applyProtection="0">
      <alignment vertical="center"/>
    </xf>
    <xf numFmtId="0" fontId="6" fillId="0" borderId="0"/>
    <xf numFmtId="0" fontId="57" fillId="40" borderId="0" applyNumberFormat="0" applyBorder="0" applyAlignment="0" applyProtection="0">
      <alignment vertical="center"/>
    </xf>
    <xf numFmtId="0" fontId="55" fillId="0" borderId="0"/>
    <xf numFmtId="0" fontId="57" fillId="40" borderId="0" applyNumberFormat="0" applyBorder="0" applyAlignment="0" applyProtection="0">
      <alignment vertical="center"/>
    </xf>
    <xf numFmtId="0" fontId="55" fillId="0" borderId="0"/>
    <xf numFmtId="0" fontId="55" fillId="0" borderId="0"/>
    <xf numFmtId="0" fontId="6" fillId="0" borderId="0">
      <alignment vertical="center"/>
    </xf>
    <xf numFmtId="0" fontId="91" fillId="5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5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0"/>
    <xf numFmtId="0" fontId="55" fillId="0" borderId="0"/>
    <xf numFmtId="0" fontId="90" fillId="12" borderId="36" applyNumberFormat="0" applyAlignment="0" applyProtection="0">
      <alignment vertical="center"/>
    </xf>
    <xf numFmtId="0" fontId="6" fillId="0" borderId="0">
      <alignment vertical="center"/>
    </xf>
    <xf numFmtId="0" fontId="55" fillId="0" borderId="0"/>
    <xf numFmtId="0" fontId="57" fillId="59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6" fillId="19" borderId="38" applyNumberFormat="0" applyFon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93" fillId="0" borderId="0"/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88" fillId="49" borderId="50" applyNumberFormat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88" fillId="49" borderId="50" applyNumberFormat="0" applyAlignment="0" applyProtection="0">
      <alignment vertical="center"/>
    </xf>
    <xf numFmtId="0" fontId="88" fillId="49" borderId="50" applyNumberFormat="0" applyAlignment="0" applyProtection="0">
      <alignment vertical="center"/>
    </xf>
    <xf numFmtId="0" fontId="88" fillId="49" borderId="50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90" fillId="12" borderId="36" applyNumberFormat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90" fillId="12" borderId="36" applyNumberFormat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91" fillId="56" borderId="0" applyNumberFormat="0" applyBorder="0" applyAlignment="0" applyProtection="0">
      <alignment vertical="center"/>
    </xf>
    <xf numFmtId="0" fontId="91" fillId="56" borderId="0" applyNumberFormat="0" applyBorder="0" applyAlignment="0" applyProtection="0">
      <alignment vertical="center"/>
    </xf>
    <xf numFmtId="0" fontId="91" fillId="56" borderId="0" applyNumberFormat="0" applyBorder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56" fillId="9" borderId="34" applyNumberFormat="0" applyAlignment="0" applyProtection="0">
      <alignment vertical="center"/>
    </xf>
    <xf numFmtId="0" fontId="81" fillId="0" borderId="0"/>
    <xf numFmtId="0" fontId="90" fillId="12" borderId="36" applyNumberFormat="0" applyAlignment="0" applyProtection="0">
      <alignment vertical="center"/>
    </xf>
    <xf numFmtId="0" fontId="81" fillId="0" borderId="0"/>
    <xf numFmtId="0" fontId="90" fillId="12" borderId="36" applyNumberFormat="0" applyAlignment="0" applyProtection="0">
      <alignment vertical="center"/>
    </xf>
    <xf numFmtId="0" fontId="90" fillId="12" borderId="36" applyNumberFormat="0" applyAlignment="0" applyProtection="0">
      <alignment vertical="center"/>
    </xf>
    <xf numFmtId="0" fontId="90" fillId="12" borderId="36" applyNumberFormat="0" applyAlignment="0" applyProtection="0">
      <alignment vertical="center"/>
    </xf>
    <xf numFmtId="0" fontId="90" fillId="12" borderId="36" applyNumberFormat="0" applyAlignment="0" applyProtection="0">
      <alignment vertical="center"/>
    </xf>
    <xf numFmtId="0" fontId="95" fillId="0" borderId="0"/>
    <xf numFmtId="0" fontId="39" fillId="0" borderId="0"/>
    <xf numFmtId="0" fontId="81" fillId="0" borderId="0"/>
    <xf numFmtId="0" fontId="81" fillId="0" borderId="0"/>
    <xf numFmtId="0" fontId="6" fillId="19" borderId="38" applyNumberFormat="0" applyFont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6" fillId="19" borderId="38" applyNumberFormat="0" applyFont="0" applyAlignment="0" applyProtection="0">
      <alignment vertical="center"/>
    </xf>
    <xf numFmtId="0" fontId="55" fillId="0" borderId="0"/>
    <xf numFmtId="0" fontId="94" fillId="0" borderId="0" applyNumberForma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2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08" applyBorder="1">
      <alignment vertical="center"/>
    </xf>
    <xf numFmtId="0" fontId="7" fillId="0" borderId="0" xfId="308" applyNumberFormat="1" applyFont="1" applyFill="1" applyBorder="1" applyAlignment="1" applyProtection="1">
      <alignment horizontal="center" vertical="center"/>
    </xf>
    <xf numFmtId="0" fontId="6" fillId="0" borderId="0" xfId="308" applyFill="1">
      <alignment vertical="center"/>
    </xf>
    <xf numFmtId="0" fontId="6" fillId="0" borderId="0" xfId="308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08">
      <alignment vertical="center"/>
    </xf>
    <xf numFmtId="0" fontId="6" fillId="0" borderId="0" xfId="308" applyNumberFormat="1">
      <alignment vertical="center"/>
    </xf>
    <xf numFmtId="0" fontId="6" fillId="0" borderId="0" xfId="308" applyNumberFormat="1" applyAlignment="1">
      <alignment horizontal="center" vertical="center"/>
    </xf>
    <xf numFmtId="14" fontId="6" fillId="0" borderId="0" xfId="308" applyNumberFormat="1">
      <alignment vertical="center"/>
    </xf>
    <xf numFmtId="179" fontId="6" fillId="0" borderId="0" xfId="308" applyNumberFormat="1">
      <alignment vertical="center"/>
    </xf>
    <xf numFmtId="184" fontId="8" fillId="0" borderId="0" xfId="111" applyNumberFormat="1" applyFont="1" applyFill="1" applyBorder="1" applyAlignment="1" applyProtection="1">
      <alignment vertical="center"/>
    </xf>
    <xf numFmtId="184" fontId="9" fillId="0" borderId="0" xfId="111" applyNumberFormat="1" applyFont="1" applyFill="1" applyBorder="1" applyAlignment="1" applyProtection="1">
      <alignment vertical="center"/>
    </xf>
    <xf numFmtId="184" fontId="10" fillId="0" borderId="0" xfId="111" applyNumberFormat="1" applyFont="1" applyFill="1" applyBorder="1" applyAlignment="1" applyProtection="1">
      <alignment vertical="center"/>
    </xf>
    <xf numFmtId="184" fontId="10" fillId="0" borderId="0" xfId="111" applyNumberFormat="1" applyFont="1" applyFill="1" applyBorder="1" applyAlignment="1" applyProtection="1">
      <alignment horizontal="center" vertical="top"/>
    </xf>
    <xf numFmtId="0" fontId="6" fillId="0" borderId="0" xfId="308" applyNumberFormat="1" applyFont="1" applyFill="1" applyBorder="1" applyAlignment="1" applyProtection="1">
      <alignment horizontal="center" vertical="center"/>
    </xf>
    <xf numFmtId="0" fontId="6" fillId="0" borderId="0" xfId="308" applyNumberFormat="1" applyBorder="1" applyAlignment="1">
      <alignment horizontal="center" vertical="center"/>
    </xf>
    <xf numFmtId="184" fontId="11" fillId="3" borderId="5" xfId="111" applyNumberFormat="1" applyFont="1" applyFill="1" applyBorder="1" applyAlignment="1" applyProtection="1">
      <alignment horizontal="center" vertical="center"/>
    </xf>
    <xf numFmtId="184" fontId="8" fillId="3" borderId="5" xfId="111" applyNumberFormat="1" applyFont="1" applyFill="1" applyBorder="1" applyAlignment="1" applyProtection="1">
      <alignment horizontal="center" vertical="center"/>
    </xf>
    <xf numFmtId="0" fontId="8" fillId="3" borderId="5" xfId="111" applyNumberFormat="1" applyFont="1" applyFill="1" applyBorder="1" applyAlignment="1" applyProtection="1">
      <alignment horizontal="center" vertical="center" wrapText="1"/>
    </xf>
    <xf numFmtId="0" fontId="12" fillId="3" borderId="5" xfId="400" applyNumberFormat="1" applyFont="1" applyFill="1" applyBorder="1" applyAlignment="1" applyProtection="1">
      <alignment horizontal="center" vertical="center" wrapText="1"/>
    </xf>
    <xf numFmtId="0" fontId="13" fillId="3" borderId="5" xfId="400" applyNumberFormat="1" applyFont="1" applyFill="1" applyBorder="1" applyAlignment="1" applyProtection="1">
      <alignment horizontal="center" vertical="center" wrapText="1"/>
    </xf>
    <xf numFmtId="184" fontId="11" fillId="3" borderId="6" xfId="111" applyNumberFormat="1" applyFont="1" applyFill="1" applyBorder="1" applyAlignment="1" applyProtection="1">
      <alignment horizontal="center" vertical="center"/>
    </xf>
    <xf numFmtId="184" fontId="8" fillId="3" borderId="6" xfId="111" applyNumberFormat="1" applyFont="1" applyFill="1" applyBorder="1" applyAlignment="1" applyProtection="1">
      <alignment horizontal="center" vertical="center"/>
    </xf>
    <xf numFmtId="0" fontId="8" fillId="3" borderId="6" xfId="111" applyNumberFormat="1" applyFont="1" applyFill="1" applyBorder="1" applyAlignment="1" applyProtection="1">
      <alignment horizontal="center" vertical="center" wrapText="1"/>
    </xf>
    <xf numFmtId="0" fontId="12" fillId="3" borderId="6" xfId="400" applyNumberFormat="1" applyFont="1" applyFill="1" applyBorder="1" applyAlignment="1" applyProtection="1">
      <alignment horizontal="center" vertical="center" wrapText="1"/>
    </xf>
    <xf numFmtId="0" fontId="13" fillId="3" borderId="6" xfId="400" applyNumberFormat="1" applyFont="1" applyFill="1" applyBorder="1" applyAlignment="1" applyProtection="1">
      <alignment horizontal="center" vertical="center" wrapText="1"/>
    </xf>
    <xf numFmtId="184" fontId="14" fillId="0" borderId="6" xfId="308" applyNumberFormat="1" applyFont="1" applyFill="1" applyBorder="1" applyAlignment="1" applyProtection="1">
      <alignment horizontal="center" vertical="center"/>
    </xf>
    <xf numFmtId="0" fontId="15" fillId="0" borderId="7" xfId="308" applyFont="1" applyFill="1" applyBorder="1" applyAlignment="1">
      <alignment horizontal="center" vertical="center" wrapText="1"/>
    </xf>
    <xf numFmtId="49" fontId="16" fillId="4" borderId="8" xfId="308" applyNumberFormat="1" applyFont="1" applyFill="1" applyBorder="1" applyAlignment="1">
      <alignment horizontal="center" vertical="center" wrapText="1"/>
    </xf>
    <xf numFmtId="0" fontId="6" fillId="0" borderId="7" xfId="308" applyNumberFormat="1" applyFill="1" applyBorder="1" applyAlignment="1">
      <alignment horizontal="center" vertical="center"/>
    </xf>
    <xf numFmtId="0" fontId="6" fillId="0" borderId="8" xfId="308" applyFill="1" applyBorder="1">
      <alignment vertical="center"/>
    </xf>
    <xf numFmtId="184" fontId="14" fillId="4" borderId="6" xfId="308" applyNumberFormat="1" applyFont="1" applyFill="1" applyBorder="1" applyAlignment="1" applyProtection="1">
      <alignment horizontal="center" vertical="center" shrinkToFit="1"/>
    </xf>
    <xf numFmtId="184" fontId="17" fillId="4" borderId="7" xfId="308" applyNumberFormat="1" applyFont="1" applyFill="1" applyBorder="1" applyAlignment="1" applyProtection="1">
      <alignment horizontal="center" vertical="center" shrinkToFit="1"/>
    </xf>
    <xf numFmtId="184" fontId="17" fillId="4" borderId="7" xfId="308" applyNumberFormat="1" applyFont="1" applyFill="1" applyBorder="1" applyAlignment="1" applyProtection="1">
      <alignment horizontal="center" vertical="top" shrinkToFit="1"/>
    </xf>
    <xf numFmtId="0" fontId="16" fillId="4" borderId="7" xfId="308" applyNumberFormat="1" applyFont="1" applyFill="1" applyBorder="1" applyAlignment="1">
      <alignment horizontal="center" vertical="center" shrinkToFit="1"/>
    </xf>
    <xf numFmtId="0" fontId="6" fillId="4" borderId="7" xfId="308" applyNumberFormat="1" applyFont="1" applyFill="1" applyBorder="1" applyAlignment="1" applyProtection="1">
      <alignment horizontal="center" vertical="center" shrinkToFit="1"/>
    </xf>
    <xf numFmtId="0" fontId="6" fillId="4" borderId="7" xfId="308" applyNumberFormat="1" applyFill="1" applyBorder="1" applyAlignment="1">
      <alignment horizontal="center" vertical="center" shrinkToFit="1"/>
    </xf>
    <xf numFmtId="0" fontId="6" fillId="3" borderId="7" xfId="308" applyFont="1" applyFill="1" applyBorder="1" applyAlignment="1">
      <alignment horizontal="center" vertical="center"/>
    </xf>
    <xf numFmtId="179" fontId="6" fillId="4" borderId="7" xfId="308" applyNumberFormat="1" applyFont="1" applyFill="1" applyBorder="1" applyAlignment="1">
      <alignment horizontal="center" vertical="center"/>
    </xf>
    <xf numFmtId="178" fontId="6" fillId="0" borderId="0" xfId="308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78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08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08" applyNumberFormat="1" applyBorder="1">
      <alignment vertical="center"/>
    </xf>
    <xf numFmtId="184" fontId="10" fillId="0" borderId="0" xfId="111" applyNumberFormat="1" applyFont="1" applyFill="1" applyBorder="1" applyAlignment="1" applyProtection="1">
      <alignment horizontal="center" vertical="center"/>
    </xf>
    <xf numFmtId="181" fontId="24" fillId="5" borderId="0" xfId="308" applyNumberFormat="1" applyFont="1" applyFill="1" applyBorder="1" applyAlignment="1">
      <alignment horizontal="center" vertical="center"/>
    </xf>
    <xf numFmtId="14" fontId="12" fillId="3" borderId="5" xfId="400" applyNumberFormat="1" applyFont="1" applyFill="1" applyBorder="1" applyAlignment="1" applyProtection="1">
      <alignment horizontal="center" vertical="center" wrapText="1"/>
    </xf>
    <xf numFmtId="0" fontId="12" fillId="3" borderId="8" xfId="400" applyNumberFormat="1" applyFont="1" applyFill="1" applyBorder="1" applyAlignment="1" applyProtection="1">
      <alignment horizontal="center" vertical="center" wrapText="1"/>
    </xf>
    <xf numFmtId="0" fontId="12" fillId="3" borderId="9" xfId="400" applyNumberFormat="1" applyFont="1" applyFill="1" applyBorder="1" applyAlignment="1" applyProtection="1">
      <alignment horizontal="center" vertical="center" wrapText="1"/>
    </xf>
    <xf numFmtId="0" fontId="12" fillId="3" borderId="10" xfId="400" applyNumberFormat="1" applyFont="1" applyFill="1" applyBorder="1" applyAlignment="1" applyProtection="1">
      <alignment horizontal="center" vertical="center" wrapText="1"/>
    </xf>
    <xf numFmtId="14" fontId="12" fillId="3" borderId="6" xfId="400" applyNumberFormat="1" applyFont="1" applyFill="1" applyBorder="1" applyAlignment="1" applyProtection="1">
      <alignment horizontal="center" vertical="center" wrapText="1"/>
    </xf>
    <xf numFmtId="0" fontId="12" fillId="3" borderId="7" xfId="400" applyNumberFormat="1" applyFont="1" applyFill="1" applyBorder="1" applyAlignment="1" applyProtection="1">
      <alignment horizontal="center" vertical="center" wrapText="1"/>
    </xf>
    <xf numFmtId="14" fontId="6" fillId="0" borderId="8" xfId="308" applyNumberFormat="1" applyFill="1" applyBorder="1">
      <alignment vertical="center"/>
    </xf>
    <xf numFmtId="181" fontId="14" fillId="0" borderId="7" xfId="308" applyNumberFormat="1" applyFont="1" applyFill="1" applyBorder="1">
      <alignment vertical="center"/>
    </xf>
    <xf numFmtId="181" fontId="14" fillId="0" borderId="7" xfId="308" applyNumberFormat="1" applyFont="1" applyFill="1" applyBorder="1" applyAlignment="1">
      <alignment horizontal="center" vertical="center"/>
    </xf>
    <xf numFmtId="0" fontId="6" fillId="4" borderId="8" xfId="308" applyNumberFormat="1" applyFont="1" applyFill="1" applyBorder="1" applyAlignment="1" applyProtection="1">
      <alignment horizontal="center" vertical="center" shrinkToFit="1"/>
    </xf>
    <xf numFmtId="14" fontId="6" fillId="4" borderId="8" xfId="308" applyNumberFormat="1" applyFont="1" applyFill="1" applyBorder="1" applyAlignment="1" applyProtection="1">
      <alignment horizontal="center" vertical="center" shrinkToFit="1"/>
    </xf>
    <xf numFmtId="178" fontId="17" fillId="4" borderId="7" xfId="308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0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0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81" fontId="0" fillId="0" borderId="0" xfId="308" applyNumberFormat="1" applyFont="1" applyFill="1" applyBorder="1" applyAlignment="1">
      <alignment horizontal="left" vertical="center"/>
    </xf>
    <xf numFmtId="179" fontId="13" fillId="3" borderId="5" xfId="400" applyNumberFormat="1" applyFont="1" applyFill="1" applyBorder="1" applyAlignment="1" applyProtection="1">
      <alignment horizontal="center" vertical="center" wrapText="1"/>
    </xf>
    <xf numFmtId="0" fontId="13" fillId="3" borderId="8" xfId="400" applyNumberFormat="1" applyFont="1" applyFill="1" applyBorder="1" applyAlignment="1" applyProtection="1">
      <alignment horizontal="center" vertical="center" wrapText="1"/>
    </xf>
    <xf numFmtId="0" fontId="13" fillId="3" borderId="9" xfId="400" applyNumberFormat="1" applyFont="1" applyFill="1" applyBorder="1" applyAlignment="1" applyProtection="1">
      <alignment horizontal="center" vertical="center" wrapText="1"/>
    </xf>
    <xf numFmtId="179" fontId="13" fillId="3" borderId="6" xfId="400" applyNumberFormat="1" applyFont="1" applyFill="1" applyBorder="1" applyAlignment="1" applyProtection="1">
      <alignment horizontal="center" vertical="center" wrapText="1"/>
    </xf>
    <xf numFmtId="0" fontId="13" fillId="3" borderId="7" xfId="400" applyNumberFormat="1" applyFont="1" applyFill="1" applyBorder="1" applyAlignment="1" applyProtection="1">
      <alignment horizontal="center" vertical="center" wrapText="1"/>
    </xf>
    <xf numFmtId="181" fontId="14" fillId="4" borderId="7" xfId="308" applyNumberFormat="1" applyFont="1" applyFill="1" applyBorder="1">
      <alignment vertical="center"/>
    </xf>
    <xf numFmtId="181" fontId="14" fillId="4" borderId="10" xfId="308" applyNumberFormat="1" applyFont="1" applyFill="1" applyBorder="1" applyAlignment="1">
      <alignment horizontal="center" vertical="center"/>
    </xf>
    <xf numFmtId="181" fontId="14" fillId="4" borderId="10" xfId="308" applyNumberFormat="1" applyFont="1" applyFill="1" applyBorder="1">
      <alignment vertical="center"/>
    </xf>
    <xf numFmtId="0" fontId="13" fillId="3" borderId="10" xfId="400" applyNumberFormat="1" applyFont="1" applyFill="1" applyBorder="1" applyAlignment="1" applyProtection="1">
      <alignment horizontal="center" vertical="center" wrapText="1"/>
    </xf>
    <xf numFmtId="178" fontId="14" fillId="4" borderId="10" xfId="308" applyNumberFormat="1" applyFont="1" applyFill="1" applyBorder="1" applyAlignment="1" applyProtection="1">
      <alignment horizontal="center" vertical="center"/>
    </xf>
    <xf numFmtId="179" fontId="20" fillId="4" borderId="7" xfId="291" applyNumberFormat="1" applyFont="1" applyFill="1" applyBorder="1" applyAlignment="1" applyProtection="1">
      <alignment horizontal="center" vertical="center"/>
    </xf>
    <xf numFmtId="179" fontId="25" fillId="4" borderId="7" xfId="400" applyNumberFormat="1" applyFont="1" applyFill="1" applyBorder="1" applyAlignment="1" applyProtection="1">
      <alignment horizontal="center" vertical="center"/>
    </xf>
    <xf numFmtId="178" fontId="14" fillId="0" borderId="0" xfId="308" applyNumberFormat="1" applyFont="1" applyFill="1" applyBorder="1" applyAlignment="1" applyProtection="1">
      <alignment horizontal="center" vertical="center"/>
    </xf>
    <xf numFmtId="179" fontId="10" fillId="0" borderId="0" xfId="111" applyNumberFormat="1" applyFont="1" applyFill="1" applyBorder="1" applyAlignment="1" applyProtection="1">
      <alignment horizontal="center" vertical="center" wrapText="1"/>
    </xf>
    <xf numFmtId="0" fontId="11" fillId="3" borderId="5" xfId="111" applyNumberFormat="1" applyFont="1" applyFill="1" applyBorder="1" applyAlignment="1" applyProtection="1">
      <alignment horizontal="center" vertical="center" wrapText="1"/>
    </xf>
    <xf numFmtId="179" fontId="8" fillId="3" borderId="5" xfId="111" applyNumberFormat="1" applyFont="1" applyFill="1" applyBorder="1" applyAlignment="1" applyProtection="1">
      <alignment horizontal="center" vertical="center" wrapText="1"/>
    </xf>
    <xf numFmtId="0" fontId="11" fillId="3" borderId="6" xfId="111" applyNumberFormat="1" applyFont="1" applyFill="1" applyBorder="1" applyAlignment="1" applyProtection="1">
      <alignment horizontal="center" vertical="center" wrapText="1"/>
    </xf>
    <xf numFmtId="179" fontId="8" fillId="3" borderId="6" xfId="111" applyNumberFormat="1" applyFont="1" applyFill="1" applyBorder="1" applyAlignment="1" applyProtection="1">
      <alignment horizontal="center" vertical="center" wrapText="1"/>
    </xf>
    <xf numFmtId="178" fontId="14" fillId="4" borderId="7" xfId="308" applyNumberFormat="1" applyFont="1" applyFill="1" applyBorder="1" applyAlignment="1" applyProtection="1">
      <alignment horizontal="center" vertical="center"/>
    </xf>
    <xf numFmtId="179" fontId="16" fillId="0" borderId="7" xfId="308" applyNumberFormat="1" applyFont="1" applyFill="1" applyBorder="1" applyAlignment="1">
      <alignment horizontal="center" vertical="center" wrapText="1"/>
    </xf>
    <xf numFmtId="178" fontId="14" fillId="0" borderId="7" xfId="308" applyNumberFormat="1" applyFont="1" applyFill="1" applyBorder="1" applyAlignment="1" applyProtection="1">
      <alignment horizontal="center" vertical="center"/>
    </xf>
    <xf numFmtId="179" fontId="17" fillId="4" borderId="7" xfId="308" applyNumberFormat="1" applyFont="1" applyFill="1" applyBorder="1" applyAlignment="1" applyProtection="1">
      <alignment horizontal="center" vertical="center" shrinkToFit="1"/>
    </xf>
    <xf numFmtId="178" fontId="14" fillId="4" borderId="7" xfId="308" applyNumberFormat="1" applyFont="1" applyFill="1" applyBorder="1" applyAlignment="1" applyProtection="1">
      <alignment horizontal="center" vertical="center" shrinkToFit="1"/>
    </xf>
    <xf numFmtId="179" fontId="6" fillId="0" borderId="0" xfId="0" applyNumberFormat="1" applyFont="1" applyFill="1" applyBorder="1" applyAlignment="1" applyProtection="1">
      <alignment vertical="center"/>
    </xf>
    <xf numFmtId="49" fontId="6" fillId="0" borderId="0" xfId="308" applyNumberFormat="1" applyFont="1" applyFill="1" applyBorder="1" applyAlignment="1" applyProtection="1">
      <alignment horizontal="center" vertical="center"/>
    </xf>
    <xf numFmtId="49" fontId="12" fillId="3" borderId="5" xfId="400" applyNumberFormat="1" applyFont="1" applyFill="1" applyBorder="1" applyAlignment="1" applyProtection="1">
      <alignment horizontal="center" vertical="center" wrapText="1"/>
    </xf>
    <xf numFmtId="49" fontId="12" fillId="3" borderId="6" xfId="400" applyNumberFormat="1" applyFont="1" applyFill="1" applyBorder="1" applyAlignment="1" applyProtection="1">
      <alignment horizontal="center" vertical="center" wrapText="1"/>
    </xf>
    <xf numFmtId="0" fontId="25" fillId="4" borderId="7" xfId="308" applyFont="1" applyFill="1" applyBorder="1" applyAlignment="1">
      <alignment horizontal="center" vertical="center"/>
    </xf>
    <xf numFmtId="0" fontId="25" fillId="4" borderId="7" xfId="308" applyFont="1" applyFill="1" applyBorder="1" applyAlignment="1">
      <alignment horizontal="center" vertical="center" shrinkToFit="1"/>
    </xf>
    <xf numFmtId="178" fontId="6" fillId="0" borderId="0" xfId="308" applyNumberFormat="1">
      <alignment vertical="center"/>
    </xf>
    <xf numFmtId="0" fontId="26" fillId="6" borderId="8" xfId="356" applyFont="1" applyFill="1" applyBorder="1" applyAlignment="1">
      <alignment horizontal="left" vertical="center"/>
    </xf>
    <xf numFmtId="49" fontId="26" fillId="0" borderId="7" xfId="272" applyNumberFormat="1" applyFont="1" applyBorder="1" applyAlignment="1" applyProtection="1">
      <protection locked="0"/>
    </xf>
    <xf numFmtId="0" fontId="6" fillId="0" borderId="7" xfId="308" applyNumberFormat="1" applyFont="1" applyFill="1" applyBorder="1" applyAlignment="1">
      <alignment horizontal="center" vertical="center"/>
    </xf>
    <xf numFmtId="0" fontId="6" fillId="0" borderId="8" xfId="308" applyFont="1" applyFill="1" applyBorder="1" applyAlignment="1">
      <alignment vertical="center"/>
    </xf>
    <xf numFmtId="0" fontId="26" fillId="6" borderId="7" xfId="272" applyFont="1" applyFill="1" applyBorder="1" applyAlignment="1">
      <alignment horizontal="left" vertical="center"/>
    </xf>
    <xf numFmtId="14" fontId="6" fillId="0" borderId="8" xfId="308" applyNumberFormat="1" applyFont="1" applyFill="1" applyBorder="1" applyAlignment="1">
      <alignment vertical="center"/>
    </xf>
    <xf numFmtId="181" fontId="14" fillId="0" borderId="7" xfId="308" applyNumberFormat="1" applyFont="1" applyFill="1" applyBorder="1" applyAlignment="1">
      <alignment vertical="center"/>
    </xf>
    <xf numFmtId="0" fontId="6" fillId="7" borderId="0" xfId="0" applyFont="1" applyFill="1" applyAlignment="1">
      <alignment vertical="center"/>
    </xf>
    <xf numFmtId="0" fontId="27" fillId="7" borderId="0" xfId="487" applyFont="1" applyFill="1" applyBorder="1" applyAlignment="1">
      <alignment horizontal="center" vertical="center"/>
    </xf>
    <xf numFmtId="0" fontId="28" fillId="7" borderId="0" xfId="487" applyNumberFormat="1" applyFont="1" applyFill="1" applyBorder="1" applyAlignment="1" applyProtection="1">
      <alignment horizontal="center" vertical="center"/>
      <protection locked="0"/>
    </xf>
    <xf numFmtId="0" fontId="28" fillId="7" borderId="0" xfId="487" applyNumberFormat="1" applyFont="1" applyFill="1" applyBorder="1" applyAlignment="1" applyProtection="1">
      <alignment horizontal="left" vertical="center"/>
      <protection locked="0"/>
    </xf>
    <xf numFmtId="0" fontId="29" fillId="7" borderId="0" xfId="487" applyNumberFormat="1" applyFont="1" applyFill="1" applyBorder="1" applyAlignment="1" applyProtection="1">
      <alignment horizontal="center" vertical="center"/>
      <protection locked="0"/>
    </xf>
    <xf numFmtId="0" fontId="30" fillId="7" borderId="0" xfId="487" applyNumberFormat="1" applyFont="1" applyFill="1" applyBorder="1" applyAlignment="1" applyProtection="1">
      <alignment horizontal="left" vertical="center"/>
      <protection locked="0"/>
    </xf>
    <xf numFmtId="0" fontId="26" fillId="7" borderId="0" xfId="0" applyFont="1" applyFill="1" applyBorder="1" applyAlignment="1" applyProtection="1">
      <alignment horizontal="right" vertical="center"/>
      <protection locked="0"/>
    </xf>
    <xf numFmtId="49" fontId="31" fillId="7" borderId="0" xfId="486" applyNumberFormat="1" applyFont="1" applyFill="1" applyBorder="1" applyAlignment="1" applyProtection="1">
      <alignment horizontal="left" vertical="center"/>
      <protection locked="0"/>
    </xf>
    <xf numFmtId="0" fontId="32" fillId="7" borderId="0" xfId="0" applyFont="1" applyFill="1" applyBorder="1" applyAlignment="1" applyProtection="1">
      <alignment horizontal="left" vertical="center"/>
      <protection locked="0"/>
    </xf>
    <xf numFmtId="0" fontId="33" fillId="7" borderId="0" xfId="487" applyFont="1" applyFill="1" applyBorder="1" applyAlignment="1">
      <alignment horizontal="right" vertical="center"/>
    </xf>
    <xf numFmtId="14" fontId="34" fillId="7" borderId="0" xfId="0" applyNumberFormat="1" applyFont="1" applyFill="1" applyBorder="1" applyAlignment="1" applyProtection="1">
      <alignment horizontal="left" vertical="center"/>
      <protection locked="0"/>
    </xf>
    <xf numFmtId="0" fontId="34" fillId="7" borderId="0" xfId="0" applyFont="1" applyFill="1" applyBorder="1" applyAlignment="1" applyProtection="1">
      <alignment horizontal="right" vertical="center"/>
      <protection locked="0"/>
    </xf>
    <xf numFmtId="0" fontId="35" fillId="7" borderId="0" xfId="0" applyFont="1" applyFill="1" applyBorder="1" applyAlignment="1">
      <alignment horizontal="left" vertical="center"/>
    </xf>
    <xf numFmtId="0" fontId="35" fillId="7" borderId="0" xfId="0" applyFont="1" applyFill="1" applyAlignment="1">
      <alignment horizontal="left" vertical="center"/>
    </xf>
    <xf numFmtId="0" fontId="30" fillId="7" borderId="0" xfId="487" applyNumberFormat="1" applyFont="1" applyFill="1" applyBorder="1" applyAlignment="1" applyProtection="1">
      <alignment horizontal="center" vertical="center"/>
      <protection locked="0"/>
    </xf>
    <xf numFmtId="0" fontId="35" fillId="7" borderId="0" xfId="0" applyFont="1" applyFill="1" applyBorder="1" applyAlignment="1" applyProtection="1">
      <alignment horizontal="left" vertical="center"/>
      <protection locked="0"/>
    </xf>
    <xf numFmtId="0" fontId="36" fillId="7" borderId="0" xfId="487" applyNumberFormat="1" applyFont="1" applyFill="1" applyBorder="1" applyAlignment="1" applyProtection="1">
      <alignment horizontal="center" vertical="center"/>
      <protection locked="0"/>
    </xf>
    <xf numFmtId="176" fontId="34" fillId="7" borderId="0" xfId="486" applyNumberFormat="1" applyFont="1" applyFill="1" applyBorder="1" applyAlignment="1" applyProtection="1">
      <alignment horizontal="left" vertical="center"/>
      <protection locked="0"/>
    </xf>
    <xf numFmtId="0" fontId="37" fillId="7" borderId="11" xfId="0" applyFont="1" applyFill="1" applyBorder="1" applyAlignment="1" applyProtection="1">
      <alignment horizontal="center" vertical="center"/>
      <protection locked="0"/>
    </xf>
    <xf numFmtId="0" fontId="37" fillId="7" borderId="12" xfId="0" applyFont="1" applyFill="1" applyBorder="1" applyAlignment="1" applyProtection="1">
      <alignment horizontal="center" vertical="center"/>
      <protection locked="0"/>
    </xf>
    <xf numFmtId="0" fontId="13" fillId="7" borderId="13" xfId="485" applyNumberFormat="1" applyFont="1" applyFill="1" applyBorder="1" applyAlignment="1" applyProtection="1">
      <alignment horizontal="left" vertical="center"/>
      <protection locked="0"/>
    </xf>
    <xf numFmtId="0" fontId="13" fillId="7" borderId="6" xfId="485" applyNumberFormat="1" applyFont="1" applyFill="1" applyBorder="1" applyAlignment="1" applyProtection="1">
      <alignment horizontal="left" vertical="center"/>
      <protection locked="0"/>
    </xf>
    <xf numFmtId="43" fontId="38" fillId="7" borderId="8" xfId="0" applyNumberFormat="1" applyFont="1" applyFill="1" applyBorder="1" applyAlignment="1" applyProtection="1">
      <alignment horizontal="left" vertical="center" shrinkToFit="1"/>
    </xf>
    <xf numFmtId="43" fontId="38" fillId="7" borderId="9" xfId="0" applyNumberFormat="1" applyFont="1" applyFill="1" applyBorder="1" applyAlignment="1" applyProtection="1">
      <alignment horizontal="left" vertical="center" shrinkToFit="1"/>
    </xf>
    <xf numFmtId="43" fontId="38" fillId="7" borderId="14" xfId="0" applyNumberFormat="1" applyFont="1" applyFill="1" applyBorder="1" applyAlignment="1" applyProtection="1">
      <alignment horizontal="left" vertical="center" shrinkToFit="1"/>
    </xf>
    <xf numFmtId="0" fontId="13" fillId="7" borderId="15" xfId="485" applyNumberFormat="1" applyFont="1" applyFill="1" applyBorder="1" applyAlignment="1" applyProtection="1">
      <alignment horizontal="left" vertical="center"/>
      <protection locked="0"/>
    </xf>
    <xf numFmtId="0" fontId="13" fillId="7" borderId="16" xfId="485" applyNumberFormat="1" applyFont="1" applyFill="1" applyBorder="1" applyAlignment="1" applyProtection="1">
      <alignment horizontal="left" vertical="center"/>
      <protection locked="0"/>
    </xf>
    <xf numFmtId="183" fontId="38" fillId="7" borderId="17" xfId="0" applyNumberFormat="1" applyFont="1" applyFill="1" applyBorder="1" applyAlignment="1" applyProtection="1">
      <alignment horizontal="right" vertical="center" shrinkToFit="1"/>
    </xf>
    <xf numFmtId="183" fontId="38" fillId="7" borderId="18" xfId="0" applyNumberFormat="1" applyFont="1" applyFill="1" applyBorder="1" applyAlignment="1" applyProtection="1">
      <alignment horizontal="right" vertical="center" shrinkToFit="1"/>
    </xf>
    <xf numFmtId="183" fontId="38" fillId="7" borderId="19" xfId="0" applyNumberFormat="1" applyFont="1" applyFill="1" applyBorder="1" applyAlignment="1" applyProtection="1">
      <alignment horizontal="right" vertical="center" shrinkToFit="1"/>
    </xf>
    <xf numFmtId="0" fontId="25" fillId="7" borderId="13" xfId="486" applyNumberFormat="1" applyFont="1" applyFill="1" applyBorder="1" applyAlignment="1" applyProtection="1">
      <alignment horizontal="left" vertical="center"/>
      <protection locked="0"/>
    </xf>
    <xf numFmtId="0" fontId="25" fillId="7" borderId="6" xfId="486" applyNumberFormat="1" applyFont="1" applyFill="1" applyBorder="1" applyAlignment="1" applyProtection="1">
      <alignment horizontal="left" vertical="center"/>
      <protection locked="0"/>
    </xf>
    <xf numFmtId="43" fontId="39" fillId="7" borderId="6" xfId="0" applyNumberFormat="1" applyFont="1" applyFill="1" applyBorder="1" applyAlignment="1" applyProtection="1">
      <alignment horizontal="left" vertical="center" shrinkToFit="1"/>
    </xf>
    <xf numFmtId="0" fontId="25" fillId="7" borderId="20" xfId="486" applyNumberFormat="1" applyFont="1" applyFill="1" applyBorder="1" applyAlignment="1" applyProtection="1">
      <alignment horizontal="left" vertical="center"/>
      <protection locked="0"/>
    </xf>
    <xf numFmtId="0" fontId="25" fillId="7" borderId="21" xfId="486" applyNumberFormat="1" applyFont="1" applyFill="1" applyBorder="1" applyAlignment="1" applyProtection="1">
      <alignment horizontal="left" vertical="center"/>
      <protection locked="0"/>
    </xf>
    <xf numFmtId="0" fontId="25" fillId="7" borderId="22" xfId="486" applyNumberFormat="1" applyFont="1" applyFill="1" applyBorder="1" applyAlignment="1" applyProtection="1">
      <alignment horizontal="left" vertical="center"/>
      <protection locked="0"/>
    </xf>
    <xf numFmtId="43" fontId="39" fillId="7" borderId="23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4" xfId="163" applyFont="1" applyFill="1" applyBorder="1" applyAlignment="1">
      <alignment vertical="center"/>
    </xf>
    <xf numFmtId="0" fontId="14" fillId="7" borderId="7" xfId="163" applyFont="1" applyFill="1" applyBorder="1" applyAlignment="1">
      <alignment vertical="center"/>
    </xf>
    <xf numFmtId="43" fontId="39" fillId="7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8" xfId="163" applyFont="1" applyFill="1" applyBorder="1" applyAlignment="1">
      <alignment horizontal="left" vertical="center"/>
    </xf>
    <xf numFmtId="0" fontId="14" fillId="7" borderId="9" xfId="163" applyFont="1" applyFill="1" applyBorder="1" applyAlignment="1">
      <alignment horizontal="left" vertical="center"/>
    </xf>
    <xf numFmtId="0" fontId="14" fillId="7" borderId="10" xfId="163" applyFont="1" applyFill="1" applyBorder="1" applyAlignment="1">
      <alignment horizontal="left" vertical="center"/>
    </xf>
    <xf numFmtId="43" fontId="39" fillId="7" borderId="25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6" xfId="163" applyFont="1" applyFill="1" applyBorder="1" applyAlignment="1">
      <alignment vertical="center"/>
    </xf>
    <xf numFmtId="0" fontId="14" fillId="7" borderId="27" xfId="163" applyFont="1" applyFill="1" applyBorder="1" applyAlignment="1">
      <alignment vertical="center"/>
    </xf>
    <xf numFmtId="43" fontId="39" fillId="7" borderId="27" xfId="486" applyNumberFormat="1" applyFont="1" applyFill="1" applyBorder="1" applyAlignment="1" applyProtection="1">
      <alignment horizontal="left" vertical="center" shrinkToFit="1"/>
      <protection locked="0"/>
    </xf>
    <xf numFmtId="177" fontId="25" fillId="7" borderId="28" xfId="486" applyNumberFormat="1" applyFont="1" applyFill="1" applyBorder="1" applyAlignment="1" applyProtection="1">
      <alignment horizontal="left" vertical="center"/>
      <protection locked="0"/>
    </xf>
    <xf numFmtId="177" fontId="25" fillId="7" borderId="29" xfId="486" applyNumberFormat="1" applyFont="1" applyFill="1" applyBorder="1" applyAlignment="1" applyProtection="1">
      <alignment horizontal="left" vertical="center"/>
      <protection locked="0"/>
    </xf>
    <xf numFmtId="177" fontId="25" fillId="7" borderId="30" xfId="486" applyNumberFormat="1" applyFont="1" applyFill="1" applyBorder="1" applyAlignment="1" applyProtection="1">
      <alignment horizontal="left" vertical="center"/>
      <protection locked="0"/>
    </xf>
    <xf numFmtId="43" fontId="39" fillId="7" borderId="31" xfId="486" applyNumberFormat="1" applyFont="1" applyFill="1" applyBorder="1" applyAlignment="1" applyProtection="1">
      <alignment horizontal="left" vertical="center" shrinkToFit="1"/>
      <protection locked="0"/>
    </xf>
    <xf numFmtId="182" fontId="40" fillId="7" borderId="0" xfId="486" applyNumberFormat="1" applyFont="1" applyFill="1" applyBorder="1" applyAlignment="1" applyProtection="1">
      <alignment horizontal="left" vertical="center"/>
      <protection locked="0"/>
    </xf>
    <xf numFmtId="0" fontId="41" fillId="0" borderId="11" xfId="484" applyFont="1" applyFill="1" applyBorder="1" applyAlignment="1">
      <alignment horizontal="center" vertical="center" wrapText="1"/>
    </xf>
    <xf numFmtId="0" fontId="41" fillId="0" borderId="32" xfId="484" applyFont="1" applyFill="1" applyBorder="1" applyAlignment="1">
      <alignment horizontal="center" vertical="center" wrapText="1"/>
    </xf>
    <xf numFmtId="180" fontId="41" fillId="0" borderId="32" xfId="484" applyNumberFormat="1" applyFont="1" applyFill="1" applyBorder="1" applyAlignment="1">
      <alignment horizontal="center" vertical="center" wrapText="1"/>
    </xf>
    <xf numFmtId="185" fontId="41" fillId="0" borderId="32" xfId="484" applyNumberFormat="1" applyFont="1" applyFill="1" applyBorder="1" applyAlignment="1">
      <alignment horizontal="center" vertical="center" wrapText="1"/>
    </xf>
    <xf numFmtId="0" fontId="41" fillId="0" borderId="33" xfId="484" applyFont="1" applyFill="1" applyBorder="1" applyAlignment="1">
      <alignment horizontal="center" vertical="center" wrapText="1"/>
    </xf>
    <xf numFmtId="0" fontId="42" fillId="0" borderId="24" xfId="484" applyFont="1" applyFill="1" applyBorder="1" applyAlignment="1">
      <alignment horizontal="center" vertical="center"/>
    </xf>
    <xf numFmtId="0" fontId="42" fillId="0" borderId="7" xfId="484" applyFont="1" applyFill="1" applyBorder="1" applyAlignment="1">
      <alignment horizontal="center" vertical="center"/>
    </xf>
    <xf numFmtId="43" fontId="42" fillId="0" borderId="7" xfId="484" applyNumberFormat="1" applyFont="1" applyFill="1" applyBorder="1" applyAlignment="1">
      <alignment horizontal="left" vertical="center"/>
    </xf>
    <xf numFmtId="180" fontId="42" fillId="0" borderId="7" xfId="484" applyNumberFormat="1" applyFont="1" applyFill="1" applyBorder="1" applyAlignment="1">
      <alignment horizontal="center" vertical="center"/>
    </xf>
    <xf numFmtId="185" fontId="42" fillId="0" borderId="7" xfId="484" applyNumberFormat="1" applyFont="1" applyFill="1" applyBorder="1" applyAlignment="1">
      <alignment horizontal="right" vertical="center"/>
    </xf>
    <xf numFmtId="0" fontId="42" fillId="0" borderId="25" xfId="484" applyFont="1" applyFill="1" applyBorder="1" applyAlignment="1">
      <alignment horizontal="left" vertical="center"/>
    </xf>
    <xf numFmtId="43" fontId="42" fillId="0" borderId="7" xfId="484" applyNumberFormat="1" applyFont="1" applyFill="1" applyBorder="1" applyAlignment="1">
      <alignment vertical="center"/>
    </xf>
    <xf numFmtId="43" fontId="42" fillId="0" borderId="7" xfId="484" applyNumberFormat="1" applyFont="1" applyFill="1" applyBorder="1" applyAlignment="1">
      <alignment horizontal="center" vertical="center"/>
    </xf>
    <xf numFmtId="0" fontId="42" fillId="0" borderId="25" xfId="484" applyFont="1" applyFill="1" applyBorder="1" applyAlignment="1">
      <alignment vertical="center" wrapText="1"/>
    </xf>
    <xf numFmtId="43" fontId="43" fillId="0" borderId="7" xfId="484" applyNumberFormat="1" applyFont="1" applyFill="1" applyBorder="1" applyAlignment="1">
      <alignment horizontal="center" vertical="center"/>
    </xf>
    <xf numFmtId="185" fontId="43" fillId="0" borderId="7" xfId="484" applyNumberFormat="1" applyFont="1" applyFill="1" applyBorder="1" applyAlignment="1">
      <alignment horizontal="right" vertical="center"/>
    </xf>
    <xf numFmtId="0" fontId="42" fillId="0" borderId="25" xfId="484" applyFont="1" applyFill="1" applyBorder="1" applyAlignment="1">
      <alignment vertical="center"/>
    </xf>
    <xf numFmtId="0" fontId="42" fillId="0" borderId="7" xfId="484" applyFont="1" applyFill="1" applyBorder="1" applyAlignment="1">
      <alignment horizontal="center" vertical="center" wrapText="1"/>
    </xf>
    <xf numFmtId="10" fontId="43" fillId="0" borderId="7" xfId="484" applyNumberFormat="1" applyFont="1" applyFill="1" applyBorder="1" applyAlignment="1">
      <alignment horizontal="center" vertical="center"/>
    </xf>
    <xf numFmtId="0" fontId="44" fillId="8" borderId="24" xfId="484" applyFont="1" applyFill="1" applyBorder="1" applyAlignment="1">
      <alignment horizontal="center" vertical="center"/>
    </xf>
    <xf numFmtId="0" fontId="44" fillId="8" borderId="7" xfId="484" applyFont="1" applyFill="1" applyBorder="1" applyAlignment="1">
      <alignment horizontal="center" vertical="center"/>
    </xf>
    <xf numFmtId="185" fontId="44" fillId="8" borderId="7" xfId="484" applyNumberFormat="1" applyFont="1" applyFill="1" applyBorder="1" applyAlignment="1">
      <alignment vertical="center"/>
    </xf>
    <xf numFmtId="0" fontId="42" fillId="8" borderId="25" xfId="484" applyFont="1" applyFill="1" applyBorder="1" applyAlignment="1">
      <alignment horizontal="left" vertical="center"/>
    </xf>
    <xf numFmtId="0" fontId="44" fillId="8" borderId="26" xfId="484" applyFont="1" applyFill="1" applyBorder="1" applyAlignment="1">
      <alignment horizontal="center" vertical="center"/>
    </xf>
    <xf numFmtId="0" fontId="44" fillId="8" borderId="27" xfId="484" applyFont="1" applyFill="1" applyBorder="1" applyAlignment="1">
      <alignment horizontal="center" vertical="center"/>
    </xf>
    <xf numFmtId="185" fontId="44" fillId="8" borderId="27" xfId="484" applyNumberFormat="1" applyFont="1" applyFill="1" applyBorder="1" applyAlignment="1">
      <alignment vertical="center"/>
    </xf>
    <xf numFmtId="0" fontId="42" fillId="8" borderId="31" xfId="484" applyFont="1" applyFill="1" applyBorder="1" applyAlignment="1">
      <alignment horizontal="left" vertical="center"/>
    </xf>
    <xf numFmtId="176" fontId="34" fillId="7" borderId="0" xfId="486" applyNumberFormat="1" applyFont="1" applyFill="1" applyBorder="1" applyAlignment="1" applyProtection="1">
      <alignment horizontal="right" vertical="center"/>
      <protection locked="0"/>
    </xf>
    <xf numFmtId="0" fontId="20" fillId="7" borderId="0" xfId="487" applyFont="1" applyFill="1" applyBorder="1" applyAlignment="1">
      <alignment horizontal="right" vertical="center"/>
    </xf>
    <xf numFmtId="14" fontId="31" fillId="7" borderId="0" xfId="0" applyNumberFormat="1" applyFont="1" applyFill="1" applyBorder="1" applyAlignment="1" applyProtection="1">
      <alignment horizontal="left" vertical="center"/>
      <protection locked="0"/>
    </xf>
    <xf numFmtId="0" fontId="45" fillId="7" borderId="0" xfId="487" applyNumberFormat="1" applyFont="1" applyFill="1" applyBorder="1" applyAlignment="1" applyProtection="1">
      <alignment horizontal="right" vertical="center"/>
      <protection locked="0"/>
    </xf>
    <xf numFmtId="0" fontId="46" fillId="7" borderId="0" xfId="487" applyNumberFormat="1" applyFont="1" applyFill="1" applyBorder="1" applyAlignment="1" applyProtection="1">
      <alignment horizontal="left" vertical="center"/>
      <protection locked="0"/>
    </xf>
    <xf numFmtId="0" fontId="47" fillId="7" borderId="0" xfId="487" applyNumberFormat="1" applyFont="1" applyFill="1" applyBorder="1" applyAlignment="1" applyProtection="1">
      <alignment horizontal="right" vertical="center"/>
      <protection locked="0"/>
    </xf>
    <xf numFmtId="0" fontId="48" fillId="7" borderId="0" xfId="487" applyNumberFormat="1" applyFont="1" applyFill="1" applyBorder="1" applyAlignment="1" applyProtection="1">
      <alignment horizontal="left" vertical="center"/>
      <protection locked="0"/>
    </xf>
    <xf numFmtId="0" fontId="49" fillId="7" borderId="0" xfId="487" applyNumberFormat="1" applyFont="1" applyFill="1" applyBorder="1" applyAlignment="1" applyProtection="1">
      <alignment horizontal="left" vertical="center"/>
      <protection locked="0"/>
    </xf>
    <xf numFmtId="0" fontId="50" fillId="7" borderId="0" xfId="487" applyNumberFormat="1" applyFont="1" applyFill="1" applyBorder="1" applyAlignment="1" applyProtection="1">
      <alignment horizontal="left" vertical="center"/>
      <protection locked="0"/>
    </xf>
    <xf numFmtId="0" fontId="51" fillId="7" borderId="0" xfId="487" applyNumberFormat="1" applyFont="1" applyFill="1" applyBorder="1" applyAlignment="1" applyProtection="1">
      <alignment horizontal="left" vertical="center"/>
      <protection locked="0"/>
    </xf>
    <xf numFmtId="0" fontId="35" fillId="7" borderId="0" xfId="144" applyFont="1" applyFill="1" applyBorder="1" applyAlignment="1">
      <alignment horizontal="left" vertical="center"/>
    </xf>
    <xf numFmtId="0" fontId="35" fillId="7" borderId="0" xfId="144" applyFont="1" applyFill="1" applyAlignment="1">
      <alignment horizontal="left" vertical="center"/>
    </xf>
    <xf numFmtId="0" fontId="50" fillId="7" borderId="0" xfId="487" applyNumberFormat="1" applyFont="1" applyFill="1" applyBorder="1" applyAlignment="1" applyProtection="1">
      <alignment horizontal="right" vertical="center"/>
      <protection locked="0"/>
    </xf>
    <xf numFmtId="0" fontId="35" fillId="7" borderId="0" xfId="144" applyFont="1" applyFill="1" applyBorder="1" applyAlignment="1">
      <alignment horizontal="left" vertical="center" wrapText="1"/>
    </xf>
    <xf numFmtId="0" fontId="35" fillId="7" borderId="0" xfId="144" applyFont="1" applyFill="1" applyAlignment="1">
      <alignment horizontal="left" vertical="center" wrapText="1"/>
    </xf>
    <xf numFmtId="49" fontId="52" fillId="7" borderId="0" xfId="487" applyNumberFormat="1" applyFont="1" applyFill="1" applyBorder="1" applyAlignment="1" applyProtection="1">
      <alignment horizontal="left" vertical="center"/>
      <protection locked="0"/>
    </xf>
    <xf numFmtId="0" fontId="53" fillId="7" borderId="0" xfId="0" applyFont="1" applyFill="1" applyBorder="1" applyAlignment="1">
      <alignment horizontal="left" vertical="center"/>
    </xf>
    <xf numFmtId="0" fontId="54" fillId="7" borderId="0" xfId="0" applyFont="1" applyFill="1" applyAlignment="1">
      <alignment vertical="center"/>
    </xf>
    <xf numFmtId="49" fontId="40" fillId="7" borderId="0" xfId="486" applyNumberFormat="1" applyFont="1" applyFill="1" applyBorder="1" applyAlignment="1" applyProtection="1">
      <alignment horizontal="left" vertical="center"/>
      <protection locked="0"/>
    </xf>
    <xf numFmtId="49" fontId="33" fillId="7" borderId="0" xfId="487" applyNumberFormat="1" applyFont="1" applyFill="1" applyBorder="1" applyAlignment="1" applyProtection="1">
      <alignment horizontal="left" vertical="center"/>
      <protection locked="0"/>
    </xf>
    <xf numFmtId="49" fontId="20" fillId="7" borderId="0" xfId="487" applyNumberFormat="1" applyFont="1" applyFill="1" applyBorder="1" applyAlignment="1" applyProtection="1">
      <alignment horizontal="left" vertical="center"/>
      <protection locked="0"/>
    </xf>
    <xf numFmtId="49" fontId="34" fillId="7" borderId="0" xfId="486" applyNumberFormat="1" applyFont="1" applyFill="1" applyBorder="1" applyAlignment="1" applyProtection="1">
      <alignment horizontal="left" vertical="center"/>
      <protection locked="0"/>
    </xf>
    <xf numFmtId="49" fontId="26" fillId="7" borderId="0" xfId="486" applyNumberFormat="1" applyFont="1" applyFill="1" applyBorder="1" applyAlignment="1" applyProtection="1">
      <alignment horizontal="left" vertical="center"/>
      <protection locked="0"/>
    </xf>
    <xf numFmtId="0" fontId="14" fillId="7" borderId="0" xfId="0" applyFont="1" applyFill="1" applyAlignment="1">
      <alignment horizontal="left" vertical="center" wrapText="1"/>
    </xf>
    <xf numFmtId="49" fontId="26" fillId="0" borderId="7" xfId="272" applyNumberFormat="1" applyFont="1" applyBorder="1" applyAlignment="1" applyProtection="1" quotePrefix="1">
      <protection locked="0"/>
    </xf>
  </cellXfs>
  <cellStyles count="488">
    <cellStyle name="常规" xfId="0" builtinId="0"/>
    <cellStyle name="货币[0]" xfId="1" builtinId="7"/>
    <cellStyle name="链接单元格 3 2" xfId="2"/>
    <cellStyle name="20% - 强调文字颜色 1 2" xfId="3"/>
    <cellStyle name="强调文字颜色 2 5" xfId="4"/>
    <cellStyle name="汇总 4 2" xfId="5"/>
    <cellStyle name="_ET_STYLE_NoName_-01_ 3 3 3 2" xfId="6"/>
    <cellStyle name="20% - 强调文字颜色 3" xfId="7" builtinId="38"/>
    <cellStyle name="输出 3" xfId="8"/>
    <cellStyle name="链接单元格 5" xfId="9"/>
    <cellStyle name="输入" xfId="10" builtinId="20"/>
    <cellStyle name="强调文字颜色 2 3 2" xfId="11"/>
    <cellStyle name="货币" xfId="12" builtinId="4"/>
    <cellStyle name="千位分隔[0]" xfId="13" builtinId="6"/>
    <cellStyle name="常规 3 4 3" xfId="14"/>
    <cellStyle name="40% - 强调文字颜色 3" xfId="15" builtinId="39"/>
    <cellStyle name="计算 2" xfId="16"/>
    <cellStyle name="千位分隔" xfId="17" builtinId="3"/>
    <cellStyle name="常规 7 3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标题 4" xfId="29" builtinId="19"/>
    <cellStyle name="解释性文本 2 2" xfId="30"/>
    <cellStyle name="60% - 强调文字颜色 2" xfId="31" builtinId="36"/>
    <cellStyle name="注释 5" xfId="32"/>
    <cellStyle name="警告文本" xfId="33" builtinId="11"/>
    <cellStyle name="强调文字颜色 1 2 3" xfId="34"/>
    <cellStyle name="常规 5 2" xfId="35"/>
    <cellStyle name="60% - 强调文字颜色 2 2 2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计算 3 2" xfId="50"/>
    <cellStyle name="40% - 强调文字颜色 4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60% - 强调文字颜色 4 2 3" xfId="58"/>
    <cellStyle name="40% - 强调文字颜色 6 5" xfId="59"/>
    <cellStyle name="汇总" xfId="60" builtinId="25"/>
    <cellStyle name="好" xfId="61" builtinId="26"/>
    <cellStyle name="输出 3 3" xfId="62"/>
    <cellStyle name="20% - 强调文字颜色 3 3" xfId="63"/>
    <cellStyle name="适中" xfId="64" builtinId="28"/>
    <cellStyle name="输出 5" xfId="65"/>
    <cellStyle name="常规 8 2" xfId="66"/>
    <cellStyle name="20% - 强调文字颜色 5" xfId="67" builtinId="46"/>
    <cellStyle name="检查单元格 3 2" xfId="68"/>
    <cellStyle name=" 3]_x000d__x000a_Zoomed=1_x000d__x000a_Row=128_x000d__x000a_Column=101_x000d__x000a_Height=300_x000d__x000a_Width=301_x000d__x000a_FontName=System_x000d__x000a_FontStyle=1_x000d__x000a_FontSize=12_x000d__x000a_PrtFontNa" xfId="69"/>
    <cellStyle name="强调文字颜色 1" xfId="70" builtinId="29"/>
    <cellStyle name="注释 2 3 3" xfId="71"/>
    <cellStyle name="链接单元格 3" xfId="72"/>
    <cellStyle name="20% - 强调文字颜色 1" xfId="73" builtinId="30"/>
    <cellStyle name="汇总 3 3" xfId="74"/>
    <cellStyle name="40% - 强调文字颜色 4 3 2" xfId="75"/>
    <cellStyle name="??&amp;O龡&amp;H?_x0008_??_x0007__x0001__x0001_" xfId="76"/>
    <cellStyle name="40% - 强调文字颜色 1" xfId="77" builtinId="31"/>
    <cellStyle name="输出 2" xfId="78"/>
    <cellStyle name="链接单元格 4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输出 4" xfId="84"/>
    <cellStyle name="汇总 3 2 2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输出 3 3 2" xfId="95"/>
    <cellStyle name="适中 2" xfId="96"/>
    <cellStyle name="计算 5" xfId="97"/>
    <cellStyle name="20% - 强调文字颜色 3 3 2" xfId="98"/>
    <cellStyle name="40% - 强调文字颜色 6" xfId="99" builtinId="51"/>
    <cellStyle name="60% - 强调文字颜色 6" xfId="100" builtinId="52"/>
    <cellStyle name="标题 4 2 2" xfId="101"/>
    <cellStyle name="_ET_STYLE_NoName_00_" xfId="102"/>
    <cellStyle name="好 2" xfId="103"/>
    <cellStyle name="20% - 强调文字颜色 1 5" xfId="104"/>
    <cellStyle name="40% - 强调文字颜色 2 2" xfId="105"/>
    <cellStyle name="_ET_STYLE_NoName_00__南区长促工资1004_5" xfId="106"/>
    <cellStyle name="20% - 强调文字颜色 1 2 3" xfId="107"/>
    <cellStyle name="20% - 强调文字颜色 1 4" xfId="108"/>
    <cellStyle name="20% - 强调文字颜色 1 3" xfId="109"/>
    <cellStyle name="差 2 3" xfId="110"/>
    <cellStyle name="??_x005f_x0011_?_x005f_x0010_?" xfId="111"/>
    <cellStyle name="_ET_STYLE_NoName_00__北区长促工资1004_3" xfId="112"/>
    <cellStyle name="20% - 强调文字颜色 1 3 2" xfId="113"/>
    <cellStyle name="强调文字颜色 5 5" xfId="114"/>
    <cellStyle name="0,0_x000a__x000a_NA_x000a__x000a_" xfId="115"/>
    <cellStyle name="常规 2 3 2 3" xfId="116"/>
    <cellStyle name="20% - 强调文字颜色 1 2 2" xfId="117"/>
    <cellStyle name="输出 2 2" xfId="118"/>
    <cellStyle name="20% - 强调文字颜色 2 2" xfId="119"/>
    <cellStyle name="输出 2 2 2" xfId="120"/>
    <cellStyle name="20% - 强调文字颜色 2 2 2" xfId="121"/>
    <cellStyle name="输出 2 2 3" xfId="122"/>
    <cellStyle name="20% - 强调文字颜色 2 2 3" xfId="123"/>
    <cellStyle name="输出 2 3" xfId="124"/>
    <cellStyle name="20% - 强调文字颜色 2 3" xfId="125"/>
    <cellStyle name="输出 2 3 2" xfId="126"/>
    <cellStyle name="20% - 强调文字颜色 2 3 2" xfId="127"/>
    <cellStyle name="输出 2 4" xfId="128"/>
    <cellStyle name="20% - 强调文字颜色 2 4" xfId="129"/>
    <cellStyle name="输出 2 5" xfId="130"/>
    <cellStyle name="20% - 强调文字颜色 2 5" xfId="131"/>
    <cellStyle name="输出 3 2" xfId="132"/>
    <cellStyle name="20% - 强调文字颜色 3 2" xfId="133"/>
    <cellStyle name="输出 3 2 2" xfId="134"/>
    <cellStyle name="20% - 强调文字颜色 3 2 2" xfId="135"/>
    <cellStyle name="输出 3 2 3" xfId="136"/>
    <cellStyle name="20% - 强调文字颜色 3 2 3" xfId="137"/>
    <cellStyle name="输出 3 4" xfId="138"/>
    <cellStyle name="60% - 强调文字颜色 1 2" xfId="139"/>
    <cellStyle name="20% - 强调文字颜色 3 4" xfId="140"/>
    <cellStyle name="60% - 强调文字颜色 1 3" xfId="141"/>
    <cellStyle name="20% - 强调文字颜色 3 5" xfId="142"/>
    <cellStyle name="输出 4 2" xfId="143"/>
    <cellStyle name="常规 3" xfId="144"/>
    <cellStyle name="20% - 强调文字颜色 4 2" xfId="145"/>
    <cellStyle name="输出 4 2 2" xfId="146"/>
    <cellStyle name="常规 3 2" xfId="147"/>
    <cellStyle name="20% - 强调文字颜色 4 2 2" xfId="148"/>
    <cellStyle name="输入 4 2" xfId="149"/>
    <cellStyle name="常规 3 3" xfId="150"/>
    <cellStyle name="20% - 强调文字颜色 4 2 3" xfId="151"/>
    <cellStyle name="输出 4 3" xfId="152"/>
    <cellStyle name="常规 4" xfId="153"/>
    <cellStyle name="20% - 强调文字颜色 4 3" xfId="154"/>
    <cellStyle name="常规 4 2" xfId="155"/>
    <cellStyle name="20% - 强调文字颜色 4 3 2" xfId="156"/>
    <cellStyle name="常规 5" xfId="157"/>
    <cellStyle name="60% - 强调文字颜色 2 2" xfId="158"/>
    <cellStyle name="20% - 强调文字颜色 4 4" xfId="159"/>
    <cellStyle name="输出 5 2" xfId="160"/>
    <cellStyle name="20% - 强调文字颜色 5 2" xfId="161"/>
    <cellStyle name="输出 5 2 2" xfId="162"/>
    <cellStyle name="3232" xfId="163"/>
    <cellStyle name="20% - 强调文字颜色 5 2 2" xfId="164"/>
    <cellStyle name="20% - 强调文字颜色 5 2 3" xfId="165"/>
    <cellStyle name="输出 5 3" xfId="166"/>
    <cellStyle name="20% - 强调文字颜色 5 3" xfId="167"/>
    <cellStyle name="差 5" xfId="168"/>
    <cellStyle name="百分比 3" xfId="169"/>
    <cellStyle name="20% - 强调文字颜色 5 3 2" xfId="170"/>
    <cellStyle name="60% - 强调文字颜色 3 2" xfId="171"/>
    <cellStyle name="20% - 强调文字颜色 5 4" xfId="172"/>
    <cellStyle name="60% - 强调文字颜色 3 3" xfId="173"/>
    <cellStyle name="20% - 强调文字颜色 5 5" xfId="174"/>
    <cellStyle name="20% - 强调文字颜色 6 2" xfId="175"/>
    <cellStyle name="40% - 强调文字颜色 4 4" xfId="176"/>
    <cellStyle name="20% - 强调文字颜色 6 2 2" xfId="177"/>
    <cellStyle name="40% - 强调文字颜色 4 5" xfId="178"/>
    <cellStyle name="20% - 强调文字颜色 6 2 3" xfId="179"/>
    <cellStyle name="20% - 强调文字颜色 6 3" xfId="180"/>
    <cellStyle name="40% - 强调文字颜色 5 4" xfId="181"/>
    <cellStyle name="20% - 强调文字颜色 6 3 2" xfId="182"/>
    <cellStyle name="注释 3 2 2 2" xfId="183"/>
    <cellStyle name="60% - 强调文字颜色 4 2" xfId="184"/>
    <cellStyle name="20% - 强调文字颜色 6 4" xfId="185"/>
    <cellStyle name="60% - 强调文字颜色 4 3" xfId="186"/>
    <cellStyle name="40% - 强调文字颜色 5 2 2" xfId="187"/>
    <cellStyle name="20% - 强调文字颜色 6 5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计算 2 2" xfId="202"/>
    <cellStyle name="40% - 强调文字颜色 3 2" xfId="203"/>
    <cellStyle name="计算 2 2 2" xfId="204"/>
    <cellStyle name="40% - 强调文字颜色 3 2 2" xfId="205"/>
    <cellStyle name="40% - 强调文字颜色 3 2 3" xfId="206"/>
    <cellStyle name="计算 2 3" xfId="207"/>
    <cellStyle name="40% - 强调文字颜色 3 3" xfId="208"/>
    <cellStyle name="计算 2 3 2" xfId="209"/>
    <cellStyle name="40% - 强调文字颜色 3 3 2" xfId="210"/>
    <cellStyle name="计算 2 4" xfId="211"/>
    <cellStyle name="40% - 强调文字颜色 3 4" xfId="212"/>
    <cellStyle name="40% - 强调文字颜色 3 5" xfId="213"/>
    <cellStyle name="检查单元格 2" xfId="214"/>
    <cellStyle name="计算 3 2 2" xfId="215"/>
    <cellStyle name="汇总 2 3" xfId="216"/>
    <cellStyle name="标题 4 4" xfId="217"/>
    <cellStyle name="40% - 强调文字颜色 4 2 2" xfId="218"/>
    <cellStyle name="检查单元格 3" xfId="219"/>
    <cellStyle name="汇总 2 4" xfId="220"/>
    <cellStyle name="标题 4 5" xfId="221"/>
    <cellStyle name="40% - 强调文字颜色 4 2 3" xfId="222"/>
    <cellStyle name="输入 2 2 2" xfId="223"/>
    <cellStyle name="计算 3 3" xfId="224"/>
    <cellStyle name="40% - 强调文字颜色 4 3" xfId="225"/>
    <cellStyle name="计算 4 2" xfId="226"/>
    <cellStyle name="好 2 3" xfId="227"/>
    <cellStyle name="40% - 强调文字颜色 5 2" xfId="228"/>
    <cellStyle name="60% - 强调文字颜色 4 4" xfId="229"/>
    <cellStyle name="40% - 强调文字颜色 5 2 3" xfId="230"/>
    <cellStyle name="输入 2 3 2" xfId="231"/>
    <cellStyle name="40% - 强调文字颜色 5 3" xfId="232"/>
    <cellStyle name="60% - 强调文字颜色 5 3" xfId="233"/>
    <cellStyle name="40% - 强调文字颜色 5 3 2" xfId="234"/>
    <cellStyle name="40% - 强调文字颜色 5 5" xfId="235"/>
    <cellStyle name="适中 2 2" xfId="236"/>
    <cellStyle name="计算 5 2" xfId="237"/>
    <cellStyle name="40% - 强调文字颜色 6 2" xfId="238"/>
    <cellStyle name="40% - 强调文字颜色 6 2 2" xfId="239"/>
    <cellStyle name="40% - 强调文字颜色 6 2 3" xfId="240"/>
    <cellStyle name="适中 2 3" xfId="241"/>
    <cellStyle name="强调文字颜色 3 2 2" xfId="242"/>
    <cellStyle name="40% - 强调文字颜色 6 3" xfId="243"/>
    <cellStyle name="解释性文本 3" xfId="244"/>
    <cellStyle name="40% - 强调文字颜色 6 3 2" xfId="245"/>
    <cellStyle name="强调文字颜色 3 2 3" xfId="246"/>
    <cellStyle name="60% - 强调文字颜色 4 2 2" xfId="247"/>
    <cellStyle name="40% - 强调文字颜色 6 4" xfId="248"/>
    <cellStyle name="60% - 强调文字颜色 1 2 2" xfId="249"/>
    <cellStyle name="60% - 强调文字颜色 1 2 3" xfId="250"/>
    <cellStyle name="60% - 强调文字颜色 1 3 2" xfId="251"/>
    <cellStyle name="60% - 强调文字颜色 1 4" xfId="252"/>
    <cellStyle name="注释 5 2 2" xfId="253"/>
    <cellStyle name="警告文本 2 2" xfId="254"/>
    <cellStyle name="60% - 强调文字颜色 1 5" xfId="255"/>
    <cellStyle name="60% - 强调文字颜色 2 2 3" xfId="256"/>
    <cellStyle name="注释 2" xfId="257"/>
    <cellStyle name="常规 6 2" xfId="258"/>
    <cellStyle name="60% - 强调文字颜色 2 3 2" xfId="259"/>
    <cellStyle name="常规 7" xfId="260"/>
    <cellStyle name="60% - 强调文字颜色 2 4" xfId="261"/>
    <cellStyle name="警告文本 3 2" xfId="262"/>
    <cellStyle name="常规 8" xfId="263"/>
    <cellStyle name="60% - 强调文字颜色 2 5" xfId="264"/>
    <cellStyle name="强调文字颜色 2 2 3" xfId="265"/>
    <cellStyle name="60% - 强调文字颜色 3 2 2" xfId="266"/>
    <cellStyle name="60% - 强调文字颜色 3 2 3" xfId="267"/>
    <cellStyle name="60% - 强调文字颜色 3 3 2" xfId="268"/>
    <cellStyle name="60% - 强调文字颜色 3 4" xfId="269"/>
    <cellStyle name="60% - 强调文字颜色 3 5" xfId="270"/>
    <cellStyle name="60% - 强调文字颜色 4 3 2" xfId="271"/>
    <cellStyle name="常规_创联至信12年工资表sn803808" xfId="272"/>
    <cellStyle name="60% - 强调文字颜色 4 5" xfId="273"/>
    <cellStyle name="60% - 强调文字颜色 5 2" xfId="274"/>
    <cellStyle name="强调文字颜色 4 2 3" xfId="275"/>
    <cellStyle name="60% - 强调文字颜色 5 2 2" xfId="276"/>
    <cellStyle name="60% - 强调文字颜色 5 2 3" xfId="277"/>
    <cellStyle name="60% - 强调文字颜色 5 3 2" xfId="278"/>
    <cellStyle name="60% - 强调文字颜色 5 4" xfId="279"/>
    <cellStyle name="60% - 强调文字颜色 5 5" xfId="280"/>
    <cellStyle name="60% - 强调文字颜色 6 2" xfId="281"/>
    <cellStyle name="强调文字颜色 5 2 3" xfId="282"/>
    <cellStyle name="常规 3 5 3" xfId="283"/>
    <cellStyle name="60% - 强调文字颜色 6 2 2" xfId="284"/>
    <cellStyle name="Normal_08'前程工资8月" xfId="285"/>
    <cellStyle name="60% - 强调文字颜色 6 2 3" xfId="286"/>
    <cellStyle name="60% - 强调文字颜色 6 3" xfId="287"/>
    <cellStyle name="60% - 强调文字颜色 6 4" xfId="288"/>
    <cellStyle name="60% - 强调文字颜色 6 5" xfId="289"/>
    <cellStyle name="警告文本 2 3" xfId="290"/>
    <cellStyle name="Comma_SALARYBJ" xfId="291"/>
    <cellStyle name="差 4" xfId="292"/>
    <cellStyle name="百分比 2" xfId="293"/>
    <cellStyle name="百分比 2 2" xfId="294"/>
    <cellStyle name="标题 1 2" xfId="295"/>
    <cellStyle name="标题 1 2 2" xfId="296"/>
    <cellStyle name="标题 1 2 3" xfId="297"/>
    <cellStyle name="标题 1 3" xfId="298"/>
    <cellStyle name="汇总 3" xfId="299"/>
    <cellStyle name="标题 1 3 2" xfId="300"/>
    <cellStyle name="标题 1 4" xfId="301"/>
    <cellStyle name="标题 1 5" xfId="302"/>
    <cellStyle name="标题 2 2" xfId="303"/>
    <cellStyle name="标题 2 2 2" xfId="304"/>
    <cellStyle name="好 3 2" xfId="305"/>
    <cellStyle name="标题 2 2 3" xfId="306"/>
    <cellStyle name="标题 2 3" xfId="307"/>
    <cellStyle name="常规 11" xfId="308"/>
    <cellStyle name="标题 2 3 2" xfId="309"/>
    <cellStyle name="标题 2 4" xfId="310"/>
    <cellStyle name="标题 2 5" xfId="311"/>
    <cellStyle name="标题 3 2" xfId="312"/>
    <cellStyle name="好 5" xfId="313"/>
    <cellStyle name="标题 3 2 2" xfId="314"/>
    <cellStyle name="标题 3 2 3" xfId="315"/>
    <cellStyle name="标题 3 3" xfId="316"/>
    <cellStyle name="样式 1" xfId="317"/>
    <cellStyle name="标题 3 3 2" xfId="318"/>
    <cellStyle name="标题 3 4" xfId="319"/>
    <cellStyle name="标题 3 5" xfId="320"/>
    <cellStyle name="千位分隔 3" xfId="321"/>
    <cellStyle name="标题 4 2" xfId="322"/>
    <cellStyle name="标题 4 2 3" xfId="323"/>
    <cellStyle name="汇总 2 2" xfId="324"/>
    <cellStyle name="标题 4 3" xfId="325"/>
    <cellStyle name="汇总 2 2 2" xfId="326"/>
    <cellStyle name="标题 4 3 2" xfId="327"/>
    <cellStyle name="解释性文本 2 3" xfId="328"/>
    <cellStyle name="标题 5" xfId="329"/>
    <cellStyle name="强调文字颜色 1 4" xfId="330"/>
    <cellStyle name="标题 5 2" xfId="331"/>
    <cellStyle name="强调文字颜色 1 5" xfId="332"/>
    <cellStyle name="汇总 3 2" xfId="333"/>
    <cellStyle name="标题 5 3" xfId="334"/>
    <cellStyle name="标题 6" xfId="335"/>
    <cellStyle name="强调文字颜色 2 4" xfId="336"/>
    <cellStyle name="标题 6 2" xfId="337"/>
    <cellStyle name="注释 2 4 2" xfId="338"/>
    <cellStyle name="标题 7" xfId="339"/>
    <cellStyle name="标题 8" xfId="340"/>
    <cellStyle name="解释性文本 5" xfId="341"/>
    <cellStyle name="差 2" xfId="342"/>
    <cellStyle name="差 2 2" xfId="343"/>
    <cellStyle name="差 3" xfId="344"/>
    <cellStyle name="差 3 2" xfId="345"/>
    <cellStyle name="常规 11 2" xfId="346"/>
    <cellStyle name="常规 2 3 2 2" xfId="347"/>
    <cellStyle name="常规 11 3" xfId="348"/>
    <cellStyle name="常规 12" xfId="349"/>
    <cellStyle name="常规 12 2" xfId="350"/>
    <cellStyle name="常规 12 3" xfId="351"/>
    <cellStyle name="强调文字颜色 3 3 2" xfId="352"/>
    <cellStyle name="常规 14" xfId="353"/>
    <cellStyle name="常规 14 2" xfId="354"/>
    <cellStyle name="常规 14 3" xfId="355"/>
    <cellStyle name="常规 2" xfId="356"/>
    <cellStyle name="常规 2 2" xfId="357"/>
    <cellStyle name="常规 2 2 2" xfId="358"/>
    <cellStyle name="常规 2 2 2 2" xfId="359"/>
    <cellStyle name="常规 2 2 3" xfId="360"/>
    <cellStyle name="输入 3 2" xfId="361"/>
    <cellStyle name="常规 2 3" xfId="362"/>
    <cellStyle name="输入 3 2 2" xfId="363"/>
    <cellStyle name="常规 2 3 2" xfId="364"/>
    <cellStyle name="常规 2 3 3" xfId="365"/>
    <cellStyle name="常规 2 3 4" xfId="366"/>
    <cellStyle name="输入 3 3" xfId="367"/>
    <cellStyle name="常规 2 4" xfId="368"/>
    <cellStyle name="常规 2 4 2" xfId="369"/>
    <cellStyle name="强调文字颜色 4 2" xfId="370"/>
    <cellStyle name="常规 2 5" xfId="371"/>
    <cellStyle name="强调文字颜色 4 2 2" xfId="372"/>
    <cellStyle name="常规 2 5 2" xfId="373"/>
    <cellStyle name="强调文字颜色 4 3" xfId="374"/>
    <cellStyle name="常规 2 6" xfId="375"/>
    <cellStyle name="强调文字颜色 4 3 2" xfId="376"/>
    <cellStyle name="常规 2 6 2" xfId="377"/>
    <cellStyle name="常规 2 6 2 2" xfId="378"/>
    <cellStyle name="常规 27" xfId="379"/>
    <cellStyle name="适中 4" xfId="380"/>
    <cellStyle name="常规 3 2 2" xfId="381"/>
    <cellStyle name="常规 3 3 2" xfId="382"/>
    <cellStyle name="常规 3 3 3" xfId="383"/>
    <cellStyle name="常规 3 4" xfId="384"/>
    <cellStyle name="常规 3 4 2" xfId="385"/>
    <cellStyle name="强调文字颜色 5 2" xfId="386"/>
    <cellStyle name="常规 3 5" xfId="387"/>
    <cellStyle name="强调文字颜色 5 2 2" xfId="388"/>
    <cellStyle name="常规 3 5 2" xfId="389"/>
    <cellStyle name="常规 4 4" xfId="390"/>
    <cellStyle name="常规 4 2 2" xfId="391"/>
    <cellStyle name="输入 5 2" xfId="392"/>
    <cellStyle name="常规 4 3" xfId="393"/>
    <cellStyle name="常规 7 2" xfId="394"/>
    <cellStyle name="强调文字颜色 6 3 2" xfId="395"/>
    <cellStyle name="常规 8 4" xfId="396"/>
    <cellStyle name="常规 9" xfId="397"/>
    <cellStyle name="注释 5 2" xfId="398"/>
    <cellStyle name="警告文本 2" xfId="399"/>
    <cellStyle name="常规_付款通知书智联（神数系统）" xfId="400"/>
    <cellStyle name="好 2 2" xfId="401"/>
    <cellStyle name="好 3" xfId="402"/>
    <cellStyle name="好 4" xfId="403"/>
    <cellStyle name="汇总 2" xfId="404"/>
    <cellStyle name="检查单元格 2 2" xfId="405"/>
    <cellStyle name="汇总 2 3 2" xfId="406"/>
    <cellStyle name="汇总 4" xfId="407"/>
    <cellStyle name="汇总 5" xfId="408"/>
    <cellStyle name="强调文字颜色 3 5" xfId="409"/>
    <cellStyle name="汇总 5 2" xfId="410"/>
    <cellStyle name="检查单元格 2 3" xfId="411"/>
    <cellStyle name="检查单元格 4" xfId="412"/>
    <cellStyle name="检查单元格 5" xfId="413"/>
    <cellStyle name="解释性文本 2" xfId="414"/>
    <cellStyle name="解释性文本 3 2" xfId="415"/>
    <cellStyle name="解释性文本 4" xfId="416"/>
    <cellStyle name="注释 5 3" xfId="417"/>
    <cellStyle name="警告文本 3" xfId="418"/>
    <cellStyle name="警告文本 4" xfId="419"/>
    <cellStyle name="警告文本 5" xfId="420"/>
    <cellStyle name="注释 2 3 2" xfId="421"/>
    <cellStyle name="链接单元格 2" xfId="422"/>
    <cellStyle name="注释 2 3 2 2" xfId="423"/>
    <cellStyle name="链接单元格 2 2" xfId="424"/>
    <cellStyle name="链接单元格 2 3" xfId="425"/>
    <cellStyle name="千位分隔 2" xfId="426"/>
    <cellStyle name="千位分隔 2 2" xfId="427"/>
    <cellStyle name="强调文字颜色 1 2" xfId="428"/>
    <cellStyle name="强调文字颜色 1 2 2" xfId="429"/>
    <cellStyle name="强调文字颜色 1 3" xfId="430"/>
    <cellStyle name="强调文字颜色 1 3 2" xfId="431"/>
    <cellStyle name="强调文字颜色 2 2" xfId="432"/>
    <cellStyle name="强调文字颜色 2 2 2" xfId="433"/>
    <cellStyle name="强调文字颜色 2 3" xfId="434"/>
    <cellStyle name="输入 2 4" xfId="435"/>
    <cellStyle name="强调文字颜色 3 2" xfId="436"/>
    <cellStyle name="强调文字颜色 3 3" xfId="437"/>
    <cellStyle name="强调文字颜色 3 4" xfId="438"/>
    <cellStyle name="强调文字颜色 4 4" xfId="439"/>
    <cellStyle name="输入 2" xfId="440"/>
    <cellStyle name="强调文字颜色 4 5" xfId="441"/>
    <cellStyle name="强调文字颜色 5 3" xfId="442"/>
    <cellStyle name="强调文字颜色 5 3 2" xfId="443"/>
    <cellStyle name="强调文字颜色 5 4" xfId="444"/>
    <cellStyle name="强调文字颜色 6 2" xfId="445"/>
    <cellStyle name="强调文字颜色 6 2 2" xfId="446"/>
    <cellStyle name="强调文字颜色 6 2 3" xfId="447"/>
    <cellStyle name="强调文字颜色 6 3" xfId="448"/>
    <cellStyle name="强调文字颜色 6 4" xfId="449"/>
    <cellStyle name="强调文字颜色 6 5" xfId="450"/>
    <cellStyle name="适中 3" xfId="451"/>
    <cellStyle name="适中 3 2" xfId="452"/>
    <cellStyle name="适中 5" xfId="453"/>
    <cellStyle name="输出 2 2 2 2" xfId="454"/>
    <cellStyle name="输出 2 3 2 2" xfId="455"/>
    <cellStyle name="输出 2 3 3" xfId="456"/>
    <cellStyle name="输出 3 2 2 2" xfId="457"/>
    <cellStyle name="样式 2 4" xfId="458"/>
    <cellStyle name="输入 2 2" xfId="459"/>
    <cellStyle name="样式 2 5" xfId="460"/>
    <cellStyle name="输入 2 3" xfId="461"/>
    <cellStyle name="输入 3" xfId="462"/>
    <cellStyle name="输入 4" xfId="463"/>
    <cellStyle name="输入 5" xfId="464"/>
    <cellStyle name="样式 1 2" xfId="465"/>
    <cellStyle name="样式 2" xfId="466"/>
    <cellStyle name="样式 2 2" xfId="467"/>
    <cellStyle name="样式 2 3" xfId="468"/>
    <cellStyle name="注释 2 2" xfId="469"/>
    <cellStyle name="注释 2 2 2" xfId="470"/>
    <cellStyle name="注释 2 2 2 2" xfId="471"/>
    <cellStyle name="注释 2 2 3" xfId="472"/>
    <cellStyle name="注释 2 4" xfId="473"/>
    <cellStyle name="注释 2 5" xfId="474"/>
    <cellStyle name="注释 3" xfId="475"/>
    <cellStyle name="注释 3 2" xfId="476"/>
    <cellStyle name="注释 3 3" xfId="477"/>
    <cellStyle name="注释 3 3 2" xfId="478"/>
    <cellStyle name="注释 3 4" xfId="479"/>
    <cellStyle name="注释 4" xfId="480"/>
    <cellStyle name="注释 4 2" xfId="481"/>
    <cellStyle name="注释 4 2 2" xfId="482"/>
    <cellStyle name="注释 4 3" xfId="483"/>
    <cellStyle name="常规_0705 UL South CS meeting (chonghua)" xfId="484"/>
    <cellStyle name="㼿㼿㼿㼿㼿" xfId="485"/>
    <cellStyle name="㼿㼿㼿㼿㼿㼿㼿" xfId="486"/>
    <cellStyle name="㼿㼿㼿㼿? 2" xfId="487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O4" activePane="bottomRight" state="frozen"/>
      <selection/>
      <selection pane="topRight"/>
      <selection pane="bottomLeft"/>
      <selection pane="bottomRight" activeCell="A6" sqref="$A6:$XFD20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114" t="s">
        <v>51</v>
      </c>
      <c r="D4" s="37" t="s">
        <v>52</v>
      </c>
      <c r="E4" s="115" t="s">
        <v>53</v>
      </c>
      <c r="F4" s="38" t="str">
        <f>IF(MOD(MID(E4,17,1),2)=1,"男","女")</f>
        <v>男</v>
      </c>
      <c r="G4" s="116">
        <v>18035163638</v>
      </c>
      <c r="H4" s="117"/>
      <c r="I4" s="117"/>
      <c r="J4" s="119"/>
      <c r="K4" s="117"/>
      <c r="L4" s="120">
        <v>9500</v>
      </c>
      <c r="M4" s="120">
        <v>264</v>
      </c>
      <c r="N4" s="120">
        <v>66</v>
      </c>
      <c r="O4" s="120">
        <v>9.9</v>
      </c>
      <c r="P4" s="120">
        <v>180</v>
      </c>
      <c r="Q4" s="89">
        <f>ROUND(SUM(M4:P4),2)</f>
        <v>519.9</v>
      </c>
      <c r="R4" s="70">
        <v>0</v>
      </c>
      <c r="S4" s="90">
        <f>L4</f>
        <v>9500</v>
      </c>
      <c r="T4" s="91">
        <v>5000</v>
      </c>
      <c r="U4" s="91">
        <f>Q4</f>
        <v>519.9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</f>
        <v>0</v>
      </c>
      <c r="AD4" s="93">
        <f>ROUND(S4-T4-U4-AB4-AC4,2)</f>
        <v>3980.1</v>
      </c>
      <c r="AE4" s="94">
        <f>ROUND(MAX((AD4)*{0.03;0.1;0.2;0.25;0.3;0.35;0.45}-{0;2520;16920;31920;52920;85920;181920},0),2)</f>
        <v>119.4</v>
      </c>
      <c r="AF4" s="95">
        <v>0</v>
      </c>
      <c r="AG4" s="95">
        <f>IF((AE4-AF4)&lt;0,0,AE4-AF4)</f>
        <v>119.4</v>
      </c>
      <c r="AH4" s="102">
        <f>ROUND(IF((L4-Q4-AG4)&lt;0,0,(L4-Q4-AG4)),2)</f>
        <v>8860.7</v>
      </c>
      <c r="AI4" s="103"/>
      <c r="AJ4" s="102">
        <f>AH4+AI4</f>
        <v>8860.7</v>
      </c>
      <c r="AK4" s="104"/>
      <c r="AL4" s="102">
        <f>AJ4+AG4+AK4</f>
        <v>8980.1</v>
      </c>
      <c r="AM4" s="104"/>
      <c r="AN4" s="104"/>
      <c r="AO4" s="104" t="s">
        <v>54</v>
      </c>
      <c r="AP4" s="104" t="s">
        <v>55</v>
      </c>
      <c r="AQ4" s="104" t="s">
        <v>56</v>
      </c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不</v>
      </c>
    </row>
    <row r="5" s="12" customFormat="1" ht="18" customHeight="1" spans="1:46">
      <c r="A5" s="36">
        <v>2</v>
      </c>
      <c r="B5" s="37" t="s">
        <v>50</v>
      </c>
      <c r="C5" s="118" t="s">
        <v>57</v>
      </c>
      <c r="D5" s="37" t="s">
        <v>52</v>
      </c>
      <c r="E5" s="224" t="s">
        <v>58</v>
      </c>
      <c r="F5" s="38" t="str">
        <f>IF(MOD(MID(E5,17,1),2)=1,"男","女")</f>
        <v>女</v>
      </c>
      <c r="G5" s="116">
        <v>13926009696</v>
      </c>
      <c r="H5" s="117"/>
      <c r="I5" s="117"/>
      <c r="J5" s="119"/>
      <c r="K5" s="117"/>
      <c r="L5" s="120">
        <v>5800</v>
      </c>
      <c r="M5" s="120">
        <v>304.24</v>
      </c>
      <c r="N5" s="120">
        <v>123.5</v>
      </c>
      <c r="O5" s="120">
        <v>7.61</v>
      </c>
      <c r="P5" s="120">
        <v>0</v>
      </c>
      <c r="Q5" s="89">
        <f>ROUND(SUM(M5:P5),2)</f>
        <v>435.35</v>
      </c>
      <c r="R5" s="70">
        <v>0</v>
      </c>
      <c r="S5" s="90">
        <f>L5</f>
        <v>5800</v>
      </c>
      <c r="T5" s="91">
        <v>5000</v>
      </c>
      <c r="U5" s="91">
        <f>Q5</f>
        <v>435.35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</f>
        <v>0</v>
      </c>
      <c r="AD5" s="93">
        <f>ROUND(S5-T5-U5-AB5-AC5,2)</f>
        <v>364.65</v>
      </c>
      <c r="AE5" s="94">
        <f>ROUND(MAX((AD5)*{0.03;0.1;0.2;0.25;0.3;0.35;0.45}-{0;2520;16920;31920;52920;85920;181920},0),2)</f>
        <v>10.94</v>
      </c>
      <c r="AF5" s="95">
        <v>0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59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15300</v>
      </c>
      <c r="M6" s="74">
        <f t="shared" si="0"/>
        <v>568.24</v>
      </c>
      <c r="N6" s="74">
        <f t="shared" si="0"/>
        <v>189.5</v>
      </c>
      <c r="O6" s="74">
        <f t="shared" si="0"/>
        <v>17.51</v>
      </c>
      <c r="P6" s="74">
        <f t="shared" si="0"/>
        <v>180</v>
      </c>
      <c r="Q6" s="74">
        <f t="shared" si="0"/>
        <v>955.25</v>
      </c>
      <c r="R6" s="74">
        <f t="shared" si="0"/>
        <v>0</v>
      </c>
      <c r="S6" s="74">
        <f t="shared" si="0"/>
        <v>15300</v>
      </c>
      <c r="T6" s="74">
        <f t="shared" si="0"/>
        <v>10000</v>
      </c>
      <c r="U6" s="74">
        <f t="shared" si="0"/>
        <v>955.25</v>
      </c>
      <c r="V6" s="74">
        <f t="shared" si="0"/>
        <v>0</v>
      </c>
      <c r="W6" s="74">
        <f t="shared" si="0"/>
        <v>0</v>
      </c>
      <c r="X6" s="74">
        <f t="shared" si="0"/>
        <v>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0</v>
      </c>
      <c r="AC6" s="74">
        <f t="shared" si="0"/>
        <v>0</v>
      </c>
      <c r="AD6" s="74">
        <f t="shared" si="0"/>
        <v>4344.75</v>
      </c>
      <c r="AE6" s="74">
        <f t="shared" si="0"/>
        <v>130.34</v>
      </c>
      <c r="AF6" s="74">
        <f t="shared" si="0"/>
        <v>0</v>
      </c>
      <c r="AG6" s="74">
        <f t="shared" si="0"/>
        <v>130.34</v>
      </c>
      <c r="AH6" s="74">
        <f t="shared" si="0"/>
        <v>14214.41</v>
      </c>
      <c r="AI6" s="105">
        <f t="shared" si="0"/>
        <v>0</v>
      </c>
      <c r="AJ6" s="74">
        <f t="shared" si="0"/>
        <v>14214.41</v>
      </c>
      <c r="AK6" s="74">
        <f t="shared" si="0"/>
        <v>0</v>
      </c>
      <c r="AL6" s="74">
        <f t="shared" si="0"/>
        <v>14344.75</v>
      </c>
      <c r="AM6" s="106"/>
      <c r="AN6" s="106"/>
      <c r="AO6" s="106"/>
      <c r="AP6" s="106"/>
      <c r="AQ6" s="106"/>
      <c r="AR6" s="45"/>
      <c r="AS6" s="45"/>
      <c r="AT6" s="112"/>
    </row>
    <row r="9" spans="30:30">
      <c r="AD9" s="96"/>
    </row>
    <row r="10" ht="18.75" customHeight="1" spans="2:30">
      <c r="B10" s="47" t="s">
        <v>29</v>
      </c>
      <c r="C10" s="47" t="s">
        <v>60</v>
      </c>
      <c r="D10" s="47" t="s">
        <v>30</v>
      </c>
      <c r="E10" s="47" t="s">
        <v>61</v>
      </c>
      <c r="AD10" s="10"/>
    </row>
    <row r="11" ht="18.75" customHeight="1" spans="2:5">
      <c r="B11" s="48">
        <f>AJ6</f>
        <v>14214.41</v>
      </c>
      <c r="C11" s="48">
        <f>AG6</f>
        <v>130.34</v>
      </c>
      <c r="D11" s="48">
        <f>AK6</f>
        <v>0</v>
      </c>
      <c r="E11" s="48">
        <f>B11+C11+D11</f>
        <v>14344.75</v>
      </c>
    </row>
    <row r="12" spans="2:5">
      <c r="B12" s="49"/>
      <c r="C12" s="49"/>
      <c r="D12" s="49"/>
      <c r="E12" s="49"/>
    </row>
    <row r="13" s="14" customFormat="1" spans="1:35">
      <c r="A13" s="50" t="s">
        <v>62</v>
      </c>
      <c r="B13" s="51" t="s">
        <v>63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64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65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66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67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20" ht="11.25" customHeight="1" spans="2:2">
      <c r="B20" s="58" t="s">
        <v>69</v>
      </c>
    </row>
    <row r="21" spans="2:2">
      <c r="B21" s="59" t="s">
        <v>70</v>
      </c>
    </row>
    <row r="22" spans="2:2">
      <c r="B22" s="59" t="s">
        <v>71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0" priority="10" stopIfTrue="1"/>
  </conditionalFormatting>
  <conditionalFormatting sqref="B13:B17">
    <cfRule type="duplicateValues" dxfId="0" priority="13" stopIfTrue="1"/>
  </conditionalFormatting>
  <conditionalFormatting sqref="B21:B22">
    <cfRule type="duplicateValues" dxfId="0" priority="1" stopIfTrue="1"/>
  </conditionalFormatting>
  <conditionalFormatting sqref="C10:C12">
    <cfRule type="duplicateValues" dxfId="0" priority="17" stopIfTrue="1"/>
    <cfRule type="expression" dxfId="1" priority="19" stopIfTrue="1">
      <formula>AND(COUNTIF($B$6:$B$65442,C10)+COUNTIF($B$1:$B$3,C10)&gt;1,NOT(ISBLANK(C10)))</formula>
    </cfRule>
    <cfRule type="expression" dxfId="1" priority="21" stopIfTrue="1">
      <formula>AND(COUNTIF($B$17:$B$65393,C10)+COUNTIF($B$1:$B$16,C10)&gt;1,NOT(ISBLANK(C10)))</formula>
    </cfRule>
    <cfRule type="expression" dxfId="1" priority="23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108</v>
      </c>
      <c r="C4" s="37"/>
      <c r="D4" s="37" t="s">
        <v>52</v>
      </c>
      <c r="E4" s="37" t="s">
        <v>110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L4+IFERROR(VLOOKUP($E:$E,'（居民）工资表-8月'!$E:$S,15,0),0)</f>
        <v>15000</v>
      </c>
      <c r="T4" s="91">
        <f>5000+IFERROR(VLOOKUP($E:$E,'（居民）工资表-8月'!$E:$T,16,0),0)</f>
        <v>25000</v>
      </c>
      <c r="U4" s="91">
        <f>Q4+IFERROR(VLOOKUP($E:$E,'（居民）工资表-8月'!$E:$U,17,0),0)</f>
        <v>2625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3">
        <f>ROUND(S4-T4-U4-AB4-AC4,2)</f>
        <v>-12625</v>
      </c>
      <c r="AE4" s="94">
        <f>ROUND(MAX((AD4)*{0.03;0.1;0.2;0.25;0.3;0.35;0.45}-{0;2520;16920;31920;52920;85920;181920},0),2)</f>
        <v>0</v>
      </c>
      <c r="AF4" s="95">
        <f>IFERROR(VLOOKUP(E:E,'（居民）工资表-8月'!E:AF,28,0)+VLOOKUP(E:E,'（居民）工资表-8月'!E:AG,29,0),0)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108</v>
      </c>
      <c r="C5" s="37"/>
      <c r="D5" s="37" t="s">
        <v>52</v>
      </c>
      <c r="E5" s="37" t="s">
        <v>111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L5+IFERROR(VLOOKUP($E:$E,'（居民）工资表-8月'!$E:$S,15,0),0)</f>
        <v>20000</v>
      </c>
      <c r="T5" s="91">
        <f>5000+IFERROR(VLOOKUP($E:$E,'（居民）工资表-8月'!$E:$T,16,0),0)</f>
        <v>25000</v>
      </c>
      <c r="U5" s="91">
        <f>Q5+IFERROR(VLOOKUP($E:$E,'（居民）工资表-8月'!$E:$U,17,0),0)</f>
        <v>3500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R5+IFERROR(VLOOKUP($E:$E,'（居民）工资表-8月'!$E:$AC,25,0),0)</f>
        <v>0</v>
      </c>
      <c r="AD5" s="93">
        <f t="shared" ref="AD5:AD23" si="6">ROUND(S5-T5-U5-AB5-AC5,2)</f>
        <v>-8500</v>
      </c>
      <c r="AE5" s="94">
        <f>ROUND(MAX((AD5)*{0.03;0.1;0.2;0.25;0.3;0.35;0.45}-{0;2520;16920;31920;52920;85920;181920},0),2)</f>
        <v>0</v>
      </c>
      <c r="AF5" s="95">
        <f>IFERROR(VLOOKUP(E:E,'（居民）工资表-8月'!E:AF,28,0)+VLOOKUP(E:E,'（居民）工资表-8月'!E:AG,29,0),0)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108</v>
      </c>
      <c r="C6" s="37"/>
      <c r="D6" s="37" t="s">
        <v>52</v>
      </c>
      <c r="E6" s="37" t="s">
        <v>112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L6+IFERROR(VLOOKUP($E:$E,'（居民）工资表-8月'!$E:$S,15,0),0)</f>
        <v>25000</v>
      </c>
      <c r="T6" s="91">
        <f>5000+IFERROR(VLOOKUP($E:$E,'（居民）工资表-8月'!$E:$T,16,0),0)</f>
        <v>25000</v>
      </c>
      <c r="U6" s="91">
        <f>Q6+IFERROR(VLOOKUP($E:$E,'（居民）工资表-8月'!$E:$U,17,0),0)</f>
        <v>4375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R6+IFERROR(VLOOKUP($E:$E,'（居民）工资表-8月'!$E:$AC,25,0),0)</f>
        <v>0</v>
      </c>
      <c r="AD6" s="93">
        <f t="shared" si="6"/>
        <v>-4375</v>
      </c>
      <c r="AE6" s="94">
        <f>ROUND(MAX((AD6)*{0.03;0.1;0.2;0.25;0.3;0.35;0.45}-{0;2520;16920;31920;52920;85920;181920},0),2)</f>
        <v>0</v>
      </c>
      <c r="AF6" s="95">
        <f>IFERROR(VLOOKUP(E:E,'（居民）工资表-8月'!E:AF,28,0)+VLOOKUP(E:E,'（居民）工资表-8月'!E:AG,29,0),0)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108</v>
      </c>
      <c r="C7" s="37"/>
      <c r="D7" s="37" t="s">
        <v>52</v>
      </c>
      <c r="E7" s="37" t="s">
        <v>113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L7+IFERROR(VLOOKUP($E:$E,'（居民）工资表-8月'!$E:$S,15,0),0)</f>
        <v>30000</v>
      </c>
      <c r="T7" s="91">
        <f>5000+IFERROR(VLOOKUP($E:$E,'（居民）工资表-8月'!$E:$T,16,0),0)</f>
        <v>25000</v>
      </c>
      <c r="U7" s="91">
        <f>Q7+IFERROR(VLOOKUP($E:$E,'（居民）工资表-8月'!$E:$U,17,0),0)</f>
        <v>5250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R7+IFERROR(VLOOKUP($E:$E,'（居民）工资表-8月'!$E:$AC,25,0),0)</f>
        <v>0</v>
      </c>
      <c r="AD7" s="93">
        <f t="shared" si="6"/>
        <v>-250</v>
      </c>
      <c r="AE7" s="94">
        <f>ROUND(MAX((AD7)*{0.03;0.1;0.2;0.25;0.3;0.35;0.45}-{0;2520;16920;31920;52920;85920;181920},0),2)</f>
        <v>0</v>
      </c>
      <c r="AF7" s="95">
        <f>IFERROR(VLOOKUP(E:E,'（居民）工资表-8月'!E:AF,28,0)+VLOOKUP(E:E,'（居民）工资表-8月'!E:AG,29,0),0)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108</v>
      </c>
      <c r="C8" s="37"/>
      <c r="D8" s="37" t="s">
        <v>52</v>
      </c>
      <c r="E8" s="37" t="s">
        <v>114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L8+IFERROR(VLOOKUP($E:$E,'（居民）工资表-8月'!$E:$S,15,0),0)</f>
        <v>35000</v>
      </c>
      <c r="T8" s="91">
        <f>5000+IFERROR(VLOOKUP($E:$E,'（居民）工资表-8月'!$E:$T,16,0),0)</f>
        <v>25000</v>
      </c>
      <c r="U8" s="91">
        <f>Q8+IFERROR(VLOOKUP($E:$E,'（居民）工资表-8月'!$E:$U,17,0),0)</f>
        <v>6125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R8+IFERROR(VLOOKUP($E:$E,'（居民）工资表-8月'!$E:$AC,25,0),0)</f>
        <v>0</v>
      </c>
      <c r="AD8" s="93">
        <f t="shared" si="6"/>
        <v>3875</v>
      </c>
      <c r="AE8" s="94">
        <f>ROUND(MAX((AD8)*{0.03;0.1;0.2;0.25;0.3;0.35;0.45}-{0;2520;16920;31920;52920;85920;181920},0),2)</f>
        <v>116.25</v>
      </c>
      <c r="AF8" s="95">
        <f>IFERROR(VLOOKUP(E:E,'（居民）工资表-8月'!E:AF,28,0)+VLOOKUP(E:E,'（居民）工资表-8月'!E:AG,29,0),0)</f>
        <v>93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108</v>
      </c>
      <c r="C9" s="37"/>
      <c r="D9" s="37" t="s">
        <v>52</v>
      </c>
      <c r="E9" s="37" t="s">
        <v>115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L9+IFERROR(VLOOKUP($E:$E,'（居民）工资表-8月'!$E:$S,15,0),0)</f>
        <v>40000</v>
      </c>
      <c r="T9" s="91">
        <f>5000+IFERROR(VLOOKUP($E:$E,'（居民）工资表-8月'!$E:$T,16,0),0)</f>
        <v>25000</v>
      </c>
      <c r="U9" s="91">
        <f>Q9+IFERROR(VLOOKUP($E:$E,'（居民）工资表-8月'!$E:$U,17,0),0)</f>
        <v>7000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R9+IFERROR(VLOOKUP($E:$E,'（居民）工资表-8月'!$E:$AC,25,0),0)</f>
        <v>0</v>
      </c>
      <c r="AD9" s="93">
        <f t="shared" si="6"/>
        <v>8000</v>
      </c>
      <c r="AE9" s="94">
        <f>ROUND(MAX((AD9)*{0.03;0.1;0.2;0.25;0.3;0.35;0.45}-{0;2520;16920;31920;52920;85920;181920},0),2)</f>
        <v>240</v>
      </c>
      <c r="AF9" s="95">
        <f>IFERROR(VLOOKUP(E:E,'（居民）工资表-8月'!E:AF,28,0)+VLOOKUP(E:E,'（居民）工资表-8月'!E:AG,29,0),0)</f>
        <v>192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108</v>
      </c>
      <c r="C10" s="37"/>
      <c r="D10" s="37" t="s">
        <v>52</v>
      </c>
      <c r="E10" s="37" t="s">
        <v>116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L10+IFERROR(VLOOKUP($E:$E,'（居民）工资表-8月'!$E:$S,15,0),0)</f>
        <v>45000</v>
      </c>
      <c r="T10" s="91">
        <f>5000+IFERROR(VLOOKUP($E:$E,'（居民）工资表-8月'!$E:$T,16,0),0)</f>
        <v>25000</v>
      </c>
      <c r="U10" s="91">
        <f>Q10+IFERROR(VLOOKUP($E:$E,'（居民）工资表-8月'!$E:$U,17,0),0)</f>
        <v>7875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R10+IFERROR(VLOOKUP($E:$E,'（居民）工资表-8月'!$E:$AC,25,0),0)</f>
        <v>0</v>
      </c>
      <c r="AD10" s="93">
        <f t="shared" si="6"/>
        <v>12125</v>
      </c>
      <c r="AE10" s="94">
        <f>ROUND(MAX((AD10)*{0.03;0.1;0.2;0.25;0.3;0.35;0.45}-{0;2520;16920;31920;52920;85920;181920},0),2)</f>
        <v>363.75</v>
      </c>
      <c r="AF10" s="95">
        <f>IFERROR(VLOOKUP(E:E,'（居民）工资表-8月'!E:AF,28,0)+VLOOKUP(E:E,'（居民）工资表-8月'!E:AG,29,0),0)</f>
        <v>291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108</v>
      </c>
      <c r="C11" s="37"/>
      <c r="D11" s="37" t="s">
        <v>52</v>
      </c>
      <c r="E11" s="37" t="s">
        <v>117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L11+IFERROR(VLOOKUP($E:$E,'（居民）工资表-8月'!$E:$S,15,0),0)</f>
        <v>50000</v>
      </c>
      <c r="T11" s="91">
        <f>5000+IFERROR(VLOOKUP($E:$E,'（居民）工资表-8月'!$E:$T,16,0),0)</f>
        <v>25000</v>
      </c>
      <c r="U11" s="91">
        <f>Q11+IFERROR(VLOOKUP($E:$E,'（居民）工资表-8月'!$E:$U,17,0),0)</f>
        <v>8750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R11+IFERROR(VLOOKUP($E:$E,'（居民）工资表-8月'!$E:$AC,25,0),0)</f>
        <v>0</v>
      </c>
      <c r="AD11" s="93">
        <f t="shared" si="6"/>
        <v>16250</v>
      </c>
      <c r="AE11" s="94">
        <f>ROUND(MAX((AD11)*{0.03;0.1;0.2;0.25;0.3;0.35;0.45}-{0;2520;16920;31920;52920;85920;181920},0),2)</f>
        <v>487.5</v>
      </c>
      <c r="AF11" s="95">
        <f>IFERROR(VLOOKUP(E:E,'（居民）工资表-8月'!E:AF,28,0)+VLOOKUP(E:E,'（居民）工资表-8月'!E:AG,29,0),0)</f>
        <v>390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108</v>
      </c>
      <c r="C12" s="37"/>
      <c r="D12" s="37" t="s">
        <v>52</v>
      </c>
      <c r="E12" s="37" t="s">
        <v>118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L12+IFERROR(VLOOKUP($E:$E,'（居民）工资表-8月'!$E:$S,15,0),0)</f>
        <v>55000</v>
      </c>
      <c r="T12" s="91">
        <f>5000+IFERROR(VLOOKUP($E:$E,'（居民）工资表-8月'!$E:$T,16,0),0)</f>
        <v>25000</v>
      </c>
      <c r="U12" s="91">
        <f>Q12+IFERROR(VLOOKUP($E:$E,'（居民）工资表-8月'!$E:$U,17,0),0)</f>
        <v>9625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R12+IFERROR(VLOOKUP($E:$E,'（居民）工资表-8月'!$E:$AC,25,0),0)</f>
        <v>0</v>
      </c>
      <c r="AD12" s="93">
        <f t="shared" si="6"/>
        <v>20375</v>
      </c>
      <c r="AE12" s="94">
        <f>ROUND(MAX((AD12)*{0.03;0.1;0.2;0.25;0.3;0.35;0.45}-{0;2520;16920;31920;52920;85920;181920},0),2)</f>
        <v>611.25</v>
      </c>
      <c r="AF12" s="95">
        <f>IFERROR(VLOOKUP(E:E,'（居民）工资表-8月'!E:AF,28,0)+VLOOKUP(E:E,'（居民）工资表-8月'!E:AG,29,0),0)</f>
        <v>489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108</v>
      </c>
      <c r="C13" s="37"/>
      <c r="D13" s="37" t="s">
        <v>52</v>
      </c>
      <c r="E13" s="37" t="s">
        <v>119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L13+IFERROR(VLOOKUP($E:$E,'（居民）工资表-8月'!$E:$S,15,0),0)</f>
        <v>60000</v>
      </c>
      <c r="T13" s="91">
        <f>5000+IFERROR(VLOOKUP($E:$E,'（居民）工资表-8月'!$E:$T,16,0),0)</f>
        <v>25000</v>
      </c>
      <c r="U13" s="91">
        <f>Q13+IFERROR(VLOOKUP($E:$E,'（居民）工资表-8月'!$E:$U,17,0),0)</f>
        <v>10500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R13+IFERROR(VLOOKUP($E:$E,'（居民）工资表-8月'!$E:$AC,25,0),0)</f>
        <v>0</v>
      </c>
      <c r="AD13" s="93">
        <f t="shared" si="6"/>
        <v>24500</v>
      </c>
      <c r="AE13" s="94">
        <f>ROUND(MAX((AD13)*{0.03;0.1;0.2;0.25;0.3;0.35;0.45}-{0;2520;16920;31920;52920;85920;181920},0),2)</f>
        <v>735</v>
      </c>
      <c r="AF13" s="95">
        <f>IFERROR(VLOOKUP(E:E,'（居民）工资表-8月'!E:AF,28,0)+VLOOKUP(E:E,'（居民）工资表-8月'!E:AG,29,0),0)</f>
        <v>588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108</v>
      </c>
      <c r="C14" s="37"/>
      <c r="D14" s="37" t="s">
        <v>52</v>
      </c>
      <c r="E14" s="37" t="s">
        <v>120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L14+IFERROR(VLOOKUP($E:$E,'（居民）工资表-8月'!$E:$S,15,0),0)</f>
        <v>65000</v>
      </c>
      <c r="T14" s="91">
        <f>5000+IFERROR(VLOOKUP($E:$E,'（居民）工资表-8月'!$E:$T,16,0),0)</f>
        <v>25000</v>
      </c>
      <c r="U14" s="91">
        <f>Q14+IFERROR(VLOOKUP($E:$E,'（居民）工资表-8月'!$E:$U,17,0),0)</f>
        <v>11375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R14+IFERROR(VLOOKUP($E:$E,'（居民）工资表-8月'!$E:$AC,25,0),0)</f>
        <v>0</v>
      </c>
      <c r="AD14" s="93">
        <f t="shared" si="6"/>
        <v>28625</v>
      </c>
      <c r="AE14" s="94">
        <f>ROUND(MAX((AD14)*{0.03;0.1;0.2;0.25;0.3;0.35;0.45}-{0;2520;16920;31920;52920;85920;181920},0),2)</f>
        <v>858.75</v>
      </c>
      <c r="AF14" s="95">
        <f>IFERROR(VLOOKUP(E:E,'（居民）工资表-8月'!E:AF,28,0)+VLOOKUP(E:E,'（居民）工资表-8月'!E:AG,29,0),0)</f>
        <v>687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108</v>
      </c>
      <c r="C15" s="37"/>
      <c r="D15" s="37" t="s">
        <v>52</v>
      </c>
      <c r="E15" s="37" t="s">
        <v>121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L15+IFERROR(VLOOKUP($E:$E,'（居民）工资表-8月'!$E:$S,15,0),0)</f>
        <v>70000</v>
      </c>
      <c r="T15" s="91">
        <f>5000+IFERROR(VLOOKUP($E:$E,'（居民）工资表-8月'!$E:$T,16,0),0)</f>
        <v>25000</v>
      </c>
      <c r="U15" s="91">
        <f>Q15+IFERROR(VLOOKUP($E:$E,'（居民）工资表-8月'!$E:$U,17,0),0)</f>
        <v>12250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R15+IFERROR(VLOOKUP($E:$E,'（居民）工资表-8月'!$E:$AC,25,0),0)</f>
        <v>0</v>
      </c>
      <c r="AD15" s="93">
        <f t="shared" si="6"/>
        <v>32750</v>
      </c>
      <c r="AE15" s="94">
        <f>ROUND(MAX((AD15)*{0.03;0.1;0.2;0.25;0.3;0.35;0.45}-{0;2520;16920;31920;52920;85920;181920},0),2)</f>
        <v>982.5</v>
      </c>
      <c r="AF15" s="95">
        <f>IFERROR(VLOOKUP(E:E,'（居民）工资表-8月'!E:AF,28,0)+VLOOKUP(E:E,'（居民）工资表-8月'!E:AG,29,0),0)</f>
        <v>786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108</v>
      </c>
      <c r="C16" s="37"/>
      <c r="D16" s="37" t="s">
        <v>52</v>
      </c>
      <c r="E16" s="37" t="s">
        <v>122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L16+IFERROR(VLOOKUP($E:$E,'（居民）工资表-8月'!$E:$S,15,0),0)</f>
        <v>75000</v>
      </c>
      <c r="T16" s="91">
        <f>5000+IFERROR(VLOOKUP($E:$E,'（居民）工资表-8月'!$E:$T,16,0),0)</f>
        <v>25000</v>
      </c>
      <c r="U16" s="91">
        <f>Q16+IFERROR(VLOOKUP($E:$E,'（居民）工资表-8月'!$E:$U,17,0),0)</f>
        <v>13125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R16+IFERROR(VLOOKUP($E:$E,'（居民）工资表-8月'!$E:$AC,25,0),0)</f>
        <v>0</v>
      </c>
      <c r="AD16" s="93">
        <f t="shared" si="6"/>
        <v>36875</v>
      </c>
      <c r="AE16" s="94">
        <f>ROUND(MAX((AD16)*{0.03;0.1;0.2;0.25;0.3;0.35;0.45}-{0;2520;16920;31920;52920;85920;181920},0),2)</f>
        <v>1167.5</v>
      </c>
      <c r="AF16" s="95">
        <f>IFERROR(VLOOKUP(E:E,'（居民）工资表-8月'!E:AF,28,0)+VLOOKUP(E:E,'（居民）工资表-8月'!E:AG,29,0),0)</f>
        <v>885</v>
      </c>
      <c r="AG16" s="95">
        <f t="shared" si="7"/>
        <v>282.5</v>
      </c>
      <c r="AH16" s="102">
        <f t="shared" si="8"/>
        <v>12092.5</v>
      </c>
      <c r="AI16" s="103"/>
      <c r="AJ16" s="102">
        <f t="shared" si="9"/>
        <v>12092.5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108</v>
      </c>
      <c r="C17" s="37"/>
      <c r="D17" s="37" t="s">
        <v>52</v>
      </c>
      <c r="E17" s="37" t="s">
        <v>123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L17+IFERROR(VLOOKUP($E:$E,'（居民）工资表-8月'!$E:$S,15,0),0)</f>
        <v>80000</v>
      </c>
      <c r="T17" s="91">
        <f>5000+IFERROR(VLOOKUP($E:$E,'（居民）工资表-8月'!$E:$T,16,0),0)</f>
        <v>25000</v>
      </c>
      <c r="U17" s="91">
        <f>Q17+IFERROR(VLOOKUP($E:$E,'（居民）工资表-8月'!$E:$U,17,0),0)</f>
        <v>14000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R17+IFERROR(VLOOKUP($E:$E,'（居民）工资表-8月'!$E:$AC,25,0),0)</f>
        <v>0</v>
      </c>
      <c r="AD17" s="93">
        <f t="shared" si="6"/>
        <v>41000</v>
      </c>
      <c r="AE17" s="94">
        <f>ROUND(MAX((AD17)*{0.03;0.1;0.2;0.25;0.3;0.35;0.45}-{0;2520;16920;31920;52920;85920;181920},0),2)</f>
        <v>1580</v>
      </c>
      <c r="AF17" s="95">
        <f>IFERROR(VLOOKUP(E:E,'（居民）工资表-8月'!E:AF,28,0)+VLOOKUP(E:E,'（居民）工资表-8月'!E:AG,29,0),0)</f>
        <v>984</v>
      </c>
      <c r="AG17" s="95">
        <f t="shared" si="7"/>
        <v>596</v>
      </c>
      <c r="AH17" s="102">
        <f t="shared" si="8"/>
        <v>12604</v>
      </c>
      <c r="AI17" s="103"/>
      <c r="AJ17" s="102">
        <f t="shared" si="9"/>
        <v>12604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108</v>
      </c>
      <c r="C18" s="37"/>
      <c r="D18" s="37" t="s">
        <v>52</v>
      </c>
      <c r="E18" s="37" t="s">
        <v>124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L18+IFERROR(VLOOKUP($E:$E,'（居民）工资表-8月'!$E:$S,15,0),0)</f>
        <v>85000</v>
      </c>
      <c r="T18" s="91">
        <f>5000+IFERROR(VLOOKUP($E:$E,'（居民）工资表-8月'!$E:$T,16,0),0)</f>
        <v>25000</v>
      </c>
      <c r="U18" s="91">
        <f>Q18+IFERROR(VLOOKUP($E:$E,'（居民）工资表-8月'!$E:$U,17,0),0)</f>
        <v>14875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R18+IFERROR(VLOOKUP($E:$E,'（居民）工资表-8月'!$E:$AC,25,0),0)</f>
        <v>0</v>
      </c>
      <c r="AD18" s="93">
        <f t="shared" si="6"/>
        <v>45125</v>
      </c>
      <c r="AE18" s="94">
        <f>ROUND(MAX((AD18)*{0.03;0.1;0.2;0.25;0.3;0.35;0.45}-{0;2520;16920;31920;52920;85920;181920},0),2)</f>
        <v>1992.5</v>
      </c>
      <c r="AF18" s="95">
        <f>IFERROR(VLOOKUP(E:E,'（居民）工资表-8月'!E:AF,28,0)+VLOOKUP(E:E,'（居民）工资表-8月'!E:AG,29,0),0)</f>
        <v>1090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108</v>
      </c>
      <c r="C19" s="37"/>
      <c r="D19" s="37" t="s">
        <v>52</v>
      </c>
      <c r="E19" s="37" t="s">
        <v>125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L19+IFERROR(VLOOKUP($E:$E,'（居民）工资表-8月'!$E:$S,15,0),0)</f>
        <v>90000</v>
      </c>
      <c r="T19" s="91">
        <f>5000+IFERROR(VLOOKUP($E:$E,'（居民）工资表-8月'!$E:$T,16,0),0)</f>
        <v>25000</v>
      </c>
      <c r="U19" s="91">
        <f>Q19+IFERROR(VLOOKUP($E:$E,'（居民）工资表-8月'!$E:$U,17,0),0)</f>
        <v>15750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R19+IFERROR(VLOOKUP($E:$E,'（居民）工资表-8月'!$E:$AC,25,0),0)</f>
        <v>0</v>
      </c>
      <c r="AD19" s="93">
        <f t="shared" si="6"/>
        <v>49250</v>
      </c>
      <c r="AE19" s="94">
        <f>ROUND(MAX((AD19)*{0.03;0.1;0.2;0.25;0.3;0.35;0.45}-{0;2520;16920;31920;52920;85920;181920},0),2)</f>
        <v>2405</v>
      </c>
      <c r="AF19" s="95">
        <f>IFERROR(VLOOKUP(E:E,'（居民）工资表-8月'!E:AF,28,0)+VLOOKUP(E:E,'（居民）工资表-8月'!E:AG,29,0),0)</f>
        <v>1420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108</v>
      </c>
      <c r="C20" s="37"/>
      <c r="D20" s="37" t="s">
        <v>52</v>
      </c>
      <c r="E20" s="37" t="s">
        <v>126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L20+IFERROR(VLOOKUP($E:$E,'（居民）工资表-8月'!$E:$S,15,0),0)</f>
        <v>95000</v>
      </c>
      <c r="T20" s="91">
        <f>5000+IFERROR(VLOOKUP($E:$E,'（居民）工资表-8月'!$E:$T,16,0),0)</f>
        <v>25000</v>
      </c>
      <c r="U20" s="91">
        <f>Q20+IFERROR(VLOOKUP($E:$E,'（居民）工资表-8月'!$E:$U,17,0),0)</f>
        <v>16625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R20+IFERROR(VLOOKUP($E:$E,'（居民）工资表-8月'!$E:$AC,25,0),0)</f>
        <v>0</v>
      </c>
      <c r="AD20" s="93">
        <f t="shared" si="6"/>
        <v>53375</v>
      </c>
      <c r="AE20" s="94">
        <f>ROUND(MAX((AD20)*{0.03;0.1;0.2;0.25;0.3;0.35;0.45}-{0;2520;16920;31920;52920;85920;181920},0),2)</f>
        <v>2817.5</v>
      </c>
      <c r="AF20" s="95">
        <f>IFERROR(VLOOKUP(E:E,'（居民）工资表-8月'!E:AF,28,0)+VLOOKUP(E:E,'（居民）工资表-8月'!E:AG,29,0),0)</f>
        <v>1750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108</v>
      </c>
      <c r="C21" s="37"/>
      <c r="D21" s="37" t="s">
        <v>52</v>
      </c>
      <c r="E21" s="37" t="s">
        <v>127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L21+IFERROR(VLOOKUP($E:$E,'（居民）工资表-8月'!$E:$S,15,0),0)</f>
        <v>100000</v>
      </c>
      <c r="T21" s="91">
        <f>5000+IFERROR(VLOOKUP($E:$E,'（居民）工资表-8月'!$E:$T,16,0),0)</f>
        <v>25000</v>
      </c>
      <c r="U21" s="91">
        <f>Q21+IFERROR(VLOOKUP($E:$E,'（居民）工资表-8月'!$E:$U,17,0),0)</f>
        <v>17500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R21+IFERROR(VLOOKUP($E:$E,'（居民）工资表-8月'!$E:$AC,25,0),0)</f>
        <v>0</v>
      </c>
      <c r="AD21" s="93">
        <f t="shared" si="6"/>
        <v>57500</v>
      </c>
      <c r="AE21" s="94">
        <f>ROUND(MAX((AD21)*{0.03;0.1;0.2;0.25;0.3;0.35;0.45}-{0;2520;16920;31920;52920;85920;181920},0),2)</f>
        <v>3230</v>
      </c>
      <c r="AF21" s="95">
        <f>IFERROR(VLOOKUP(E:E,'（居民）工资表-8月'!E:AF,28,0)+VLOOKUP(E:E,'（居民）工资表-8月'!E:AG,29,0),0)</f>
        <v>2080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108</v>
      </c>
      <c r="C22" s="37"/>
      <c r="D22" s="37" t="s">
        <v>52</v>
      </c>
      <c r="E22" s="37" t="s">
        <v>128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L22+IFERROR(VLOOKUP($E:$E,'（居民）工资表-8月'!$E:$S,15,0),0)</f>
        <v>105000</v>
      </c>
      <c r="T22" s="91">
        <f>5000+IFERROR(VLOOKUP($E:$E,'（居民）工资表-8月'!$E:$T,16,0),0)</f>
        <v>25000</v>
      </c>
      <c r="U22" s="91">
        <f>Q22+IFERROR(VLOOKUP($E:$E,'（居民）工资表-8月'!$E:$U,17,0),0)</f>
        <v>18375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R22+IFERROR(VLOOKUP($E:$E,'（居民）工资表-8月'!$E:$AC,25,0),0)</f>
        <v>0</v>
      </c>
      <c r="AD22" s="93">
        <f t="shared" si="6"/>
        <v>61625</v>
      </c>
      <c r="AE22" s="94">
        <f>ROUND(MAX((AD22)*{0.03;0.1;0.2;0.25;0.3;0.35;0.45}-{0;2520;16920;31920;52920;85920;181920},0),2)</f>
        <v>3642.5</v>
      </c>
      <c r="AF22" s="95">
        <f>IFERROR(VLOOKUP(E:E,'（居民）工资表-8月'!E:AF,28,0)+VLOOKUP(E:E,'（居民）工资表-8月'!E:AG,29,0),0)</f>
        <v>2410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108</v>
      </c>
      <c r="C23" s="37"/>
      <c r="D23" s="37" t="s">
        <v>52</v>
      </c>
      <c r="E23" s="37" t="s">
        <v>129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L23+IFERROR(VLOOKUP($E:$E,'（居民）工资表-8月'!$E:$S,15,0),0)</f>
        <v>110000</v>
      </c>
      <c r="T23" s="91">
        <f>5000+IFERROR(VLOOKUP($E:$E,'（居民）工资表-8月'!$E:$T,16,0),0)</f>
        <v>25000</v>
      </c>
      <c r="U23" s="91">
        <f>Q23+IFERROR(VLOOKUP($E:$E,'（居民）工资表-8月'!$E:$U,17,0),0)</f>
        <v>19250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R23+IFERROR(VLOOKUP($E:$E,'（居民）工资表-8月'!$E:$AC,25,0),0)</f>
        <v>0</v>
      </c>
      <c r="AD23" s="93">
        <f t="shared" si="6"/>
        <v>65750</v>
      </c>
      <c r="AE23" s="94">
        <f>ROUND(MAX((AD23)*{0.03;0.1;0.2;0.25;0.3;0.35;0.45}-{0;2520;16920;31920;52920;85920;181920},0),2)</f>
        <v>4055</v>
      </c>
      <c r="AF23" s="95">
        <f>IFERROR(VLOOKUP(E:E,'（居民）工资表-8月'!E:AF,28,0)+VLOOKUP(E:E,'（居民）工资表-8月'!E:AG,29,0),0)</f>
        <v>2740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1250000</v>
      </c>
      <c r="T24" s="74">
        <f t="shared" si="12"/>
        <v>500000</v>
      </c>
      <c r="U24" s="74">
        <f t="shared" si="12"/>
        <v>218750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531250</v>
      </c>
      <c r="AE24" s="74">
        <f t="shared" si="12"/>
        <v>25285</v>
      </c>
      <c r="AF24" s="74">
        <f t="shared" si="12"/>
        <v>16875</v>
      </c>
      <c r="AG24" s="74">
        <f t="shared" si="12"/>
        <v>8410</v>
      </c>
      <c r="AH24" s="74">
        <f t="shared" si="12"/>
        <v>197840</v>
      </c>
      <c r="AI24" s="105">
        <f t="shared" si="12"/>
        <v>0</v>
      </c>
      <c r="AJ24" s="74">
        <f t="shared" si="12"/>
        <v>197840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197840</v>
      </c>
      <c r="C29" s="48">
        <f>AG24</f>
        <v>8410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108</v>
      </c>
      <c r="C4" s="37"/>
      <c r="D4" s="37" t="s">
        <v>52</v>
      </c>
      <c r="E4" s="37" t="s">
        <v>110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L4+IFERROR(VLOOKUP($E:$E,'（居民）工资表-9月'!$E:$S,15,0),0)</f>
        <v>18000</v>
      </c>
      <c r="T4" s="91">
        <f>5000+IFERROR(VLOOKUP($E:$E,'（居民）工资表-9月'!$E:$T,16,0),0)</f>
        <v>30000</v>
      </c>
      <c r="U4" s="91">
        <f>Q4+IFERROR(VLOOKUP($E:$E,'（居民）工资表-9月'!$E:$U,17,0),0)</f>
        <v>3150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R4+IFERROR(VLOOKUP($E:$E,'（居民）工资表-9月'!$E:$AC,25,0),0)</f>
        <v>0</v>
      </c>
      <c r="AD4" s="93">
        <f>ROUND(S4-T4-U4-AB4-AC4,2)</f>
        <v>-15150</v>
      </c>
      <c r="AE4" s="94">
        <f>ROUND(MAX((AD4)*{0.03;0.1;0.2;0.25;0.3;0.35;0.45}-{0;2520;16920;31920;52920;85920;181920},0),2)</f>
        <v>0</v>
      </c>
      <c r="AF4" s="95">
        <f>IFERROR(VLOOKUP(E:E,'（居民）工资表-9月'!E:AF,28,0)+VLOOKUP(E:E,'（居民）工资表-9月'!E:AG,29,0),0)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108</v>
      </c>
      <c r="C5" s="37"/>
      <c r="D5" s="37" t="s">
        <v>52</v>
      </c>
      <c r="E5" s="37" t="s">
        <v>111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L5+IFERROR(VLOOKUP($E:$E,'（居民）工资表-9月'!$E:$S,15,0),0)</f>
        <v>24000</v>
      </c>
      <c r="T5" s="91">
        <f>5000+IFERROR(VLOOKUP($E:$E,'（居民）工资表-9月'!$E:$T,16,0),0)</f>
        <v>30000</v>
      </c>
      <c r="U5" s="91">
        <f>Q5+IFERROR(VLOOKUP($E:$E,'（居民）工资表-9月'!$E:$U,17,0),0)</f>
        <v>4200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R5+IFERROR(VLOOKUP($E:$E,'（居民）工资表-9月'!$E:$AC,25,0),0)</f>
        <v>0</v>
      </c>
      <c r="AD5" s="93">
        <f t="shared" ref="AD5:AD23" si="6">ROUND(S5-T5-U5-AB5-AC5,2)</f>
        <v>-10200</v>
      </c>
      <c r="AE5" s="94">
        <f>ROUND(MAX((AD5)*{0.03;0.1;0.2;0.25;0.3;0.35;0.45}-{0;2520;16920;31920;52920;85920;181920},0),2)</f>
        <v>0</v>
      </c>
      <c r="AF5" s="95">
        <f>IFERROR(VLOOKUP(E:E,'（居民）工资表-9月'!E:AF,28,0)+VLOOKUP(E:E,'（居民）工资表-9月'!E:AG,29,0),0)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108</v>
      </c>
      <c r="C6" s="37"/>
      <c r="D6" s="37" t="s">
        <v>52</v>
      </c>
      <c r="E6" s="37" t="s">
        <v>112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L6+IFERROR(VLOOKUP($E:$E,'（居民）工资表-9月'!$E:$S,15,0),0)</f>
        <v>30000</v>
      </c>
      <c r="T6" s="91">
        <f>5000+IFERROR(VLOOKUP($E:$E,'（居民）工资表-9月'!$E:$T,16,0),0)</f>
        <v>30000</v>
      </c>
      <c r="U6" s="91">
        <f>Q6+IFERROR(VLOOKUP($E:$E,'（居民）工资表-9月'!$E:$U,17,0),0)</f>
        <v>5250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R6+IFERROR(VLOOKUP($E:$E,'（居民）工资表-9月'!$E:$AC,25,0),0)</f>
        <v>0</v>
      </c>
      <c r="AD6" s="93">
        <f t="shared" si="6"/>
        <v>-5250</v>
      </c>
      <c r="AE6" s="94">
        <f>ROUND(MAX((AD6)*{0.03;0.1;0.2;0.25;0.3;0.35;0.45}-{0;2520;16920;31920;52920;85920;181920},0),2)</f>
        <v>0</v>
      </c>
      <c r="AF6" s="95">
        <f>IFERROR(VLOOKUP(E:E,'（居民）工资表-9月'!E:AF,28,0)+VLOOKUP(E:E,'（居民）工资表-9月'!E:AG,29,0),0)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108</v>
      </c>
      <c r="C7" s="37"/>
      <c r="D7" s="37" t="s">
        <v>52</v>
      </c>
      <c r="E7" s="37" t="s">
        <v>113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L7+IFERROR(VLOOKUP($E:$E,'（居民）工资表-9月'!$E:$S,15,0),0)</f>
        <v>36000</v>
      </c>
      <c r="T7" s="91">
        <f>5000+IFERROR(VLOOKUP($E:$E,'（居民）工资表-9月'!$E:$T,16,0),0)</f>
        <v>30000</v>
      </c>
      <c r="U7" s="91">
        <f>Q7+IFERROR(VLOOKUP($E:$E,'（居民）工资表-9月'!$E:$U,17,0),0)</f>
        <v>6300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R7+IFERROR(VLOOKUP($E:$E,'（居民）工资表-9月'!$E:$AC,25,0),0)</f>
        <v>0</v>
      </c>
      <c r="AD7" s="93">
        <f t="shared" si="6"/>
        <v>-300</v>
      </c>
      <c r="AE7" s="94">
        <f>ROUND(MAX((AD7)*{0.03;0.1;0.2;0.25;0.3;0.35;0.45}-{0;2520;16920;31920;52920;85920;181920},0),2)</f>
        <v>0</v>
      </c>
      <c r="AF7" s="95">
        <f>IFERROR(VLOOKUP(E:E,'（居民）工资表-9月'!E:AF,28,0)+VLOOKUP(E:E,'（居民）工资表-9月'!E:AG,29,0),0)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108</v>
      </c>
      <c r="C8" s="37"/>
      <c r="D8" s="37" t="s">
        <v>52</v>
      </c>
      <c r="E8" s="37" t="s">
        <v>114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L8+IFERROR(VLOOKUP($E:$E,'（居民）工资表-9月'!$E:$S,15,0),0)</f>
        <v>42000</v>
      </c>
      <c r="T8" s="91">
        <f>5000+IFERROR(VLOOKUP($E:$E,'（居民）工资表-9月'!$E:$T,16,0),0)</f>
        <v>30000</v>
      </c>
      <c r="U8" s="91">
        <f>Q8+IFERROR(VLOOKUP($E:$E,'（居民）工资表-9月'!$E:$U,17,0),0)</f>
        <v>7350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R8+IFERROR(VLOOKUP($E:$E,'（居民）工资表-9月'!$E:$AC,25,0),0)</f>
        <v>0</v>
      </c>
      <c r="AD8" s="93">
        <f t="shared" si="6"/>
        <v>4650</v>
      </c>
      <c r="AE8" s="94">
        <f>ROUND(MAX((AD8)*{0.03;0.1;0.2;0.25;0.3;0.35;0.45}-{0;2520;16920;31920;52920;85920;181920},0),2)</f>
        <v>139.5</v>
      </c>
      <c r="AF8" s="95">
        <f>IFERROR(VLOOKUP(E:E,'（居民）工资表-9月'!E:AF,28,0)+VLOOKUP(E:E,'（居民）工资表-9月'!E:AG,29,0),0)</f>
        <v>116.25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108</v>
      </c>
      <c r="C9" s="37"/>
      <c r="D9" s="37" t="s">
        <v>52</v>
      </c>
      <c r="E9" s="37" t="s">
        <v>115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L9+IFERROR(VLOOKUP($E:$E,'（居民）工资表-9月'!$E:$S,15,0),0)</f>
        <v>48000</v>
      </c>
      <c r="T9" s="91">
        <f>5000+IFERROR(VLOOKUP($E:$E,'（居民）工资表-9月'!$E:$T,16,0),0)</f>
        <v>30000</v>
      </c>
      <c r="U9" s="91">
        <f>Q9+IFERROR(VLOOKUP($E:$E,'（居民）工资表-9月'!$E:$U,17,0),0)</f>
        <v>8400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R9+IFERROR(VLOOKUP($E:$E,'（居民）工资表-9月'!$E:$AC,25,0),0)</f>
        <v>0</v>
      </c>
      <c r="AD9" s="93">
        <f t="shared" si="6"/>
        <v>9600</v>
      </c>
      <c r="AE9" s="94">
        <f>ROUND(MAX((AD9)*{0.03;0.1;0.2;0.25;0.3;0.35;0.45}-{0;2520;16920;31920;52920;85920;181920},0),2)</f>
        <v>288</v>
      </c>
      <c r="AF9" s="95">
        <f>IFERROR(VLOOKUP(E:E,'（居民）工资表-9月'!E:AF,28,0)+VLOOKUP(E:E,'（居民）工资表-9月'!E:AG,29,0),0)</f>
        <v>240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108</v>
      </c>
      <c r="C10" s="37"/>
      <c r="D10" s="37" t="s">
        <v>52</v>
      </c>
      <c r="E10" s="37" t="s">
        <v>116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L10+IFERROR(VLOOKUP($E:$E,'（居民）工资表-9月'!$E:$S,15,0),0)</f>
        <v>54000</v>
      </c>
      <c r="T10" s="91">
        <f>5000+IFERROR(VLOOKUP($E:$E,'（居民）工资表-9月'!$E:$T,16,0),0)</f>
        <v>30000</v>
      </c>
      <c r="U10" s="91">
        <f>Q10+IFERROR(VLOOKUP($E:$E,'（居民）工资表-9月'!$E:$U,17,0),0)</f>
        <v>9450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R10+IFERROR(VLOOKUP($E:$E,'（居民）工资表-9月'!$E:$AC,25,0),0)</f>
        <v>0</v>
      </c>
      <c r="AD10" s="93">
        <f t="shared" si="6"/>
        <v>14550</v>
      </c>
      <c r="AE10" s="94">
        <f>ROUND(MAX((AD10)*{0.03;0.1;0.2;0.25;0.3;0.35;0.45}-{0;2520;16920;31920;52920;85920;181920},0),2)</f>
        <v>436.5</v>
      </c>
      <c r="AF10" s="95">
        <f>IFERROR(VLOOKUP(E:E,'（居民）工资表-9月'!E:AF,28,0)+VLOOKUP(E:E,'（居民）工资表-9月'!E:AG,29,0),0)</f>
        <v>363.75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108</v>
      </c>
      <c r="C11" s="37"/>
      <c r="D11" s="37" t="s">
        <v>52</v>
      </c>
      <c r="E11" s="37" t="s">
        <v>117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L11+IFERROR(VLOOKUP($E:$E,'（居民）工资表-9月'!$E:$S,15,0),0)</f>
        <v>60000</v>
      </c>
      <c r="T11" s="91">
        <f>5000+IFERROR(VLOOKUP($E:$E,'（居民）工资表-9月'!$E:$T,16,0),0)</f>
        <v>30000</v>
      </c>
      <c r="U11" s="91">
        <f>Q11+IFERROR(VLOOKUP($E:$E,'（居民）工资表-9月'!$E:$U,17,0),0)</f>
        <v>10500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R11+IFERROR(VLOOKUP($E:$E,'（居民）工资表-9月'!$E:$AC,25,0),0)</f>
        <v>0</v>
      </c>
      <c r="AD11" s="93">
        <f t="shared" si="6"/>
        <v>19500</v>
      </c>
      <c r="AE11" s="94">
        <f>ROUND(MAX((AD11)*{0.03;0.1;0.2;0.25;0.3;0.35;0.45}-{0;2520;16920;31920;52920;85920;181920},0),2)</f>
        <v>585</v>
      </c>
      <c r="AF11" s="95">
        <f>IFERROR(VLOOKUP(E:E,'（居民）工资表-9月'!E:AF,28,0)+VLOOKUP(E:E,'（居民）工资表-9月'!E:AG,29,0),0)</f>
        <v>487.5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108</v>
      </c>
      <c r="C12" s="37"/>
      <c r="D12" s="37" t="s">
        <v>52</v>
      </c>
      <c r="E12" s="37" t="s">
        <v>118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L12+IFERROR(VLOOKUP($E:$E,'（居民）工资表-9月'!$E:$S,15,0),0)</f>
        <v>66000</v>
      </c>
      <c r="T12" s="91">
        <f>5000+IFERROR(VLOOKUP($E:$E,'（居民）工资表-9月'!$E:$T,16,0),0)</f>
        <v>30000</v>
      </c>
      <c r="U12" s="91">
        <f>Q12+IFERROR(VLOOKUP($E:$E,'（居民）工资表-9月'!$E:$U,17,0),0)</f>
        <v>11550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R12+IFERROR(VLOOKUP($E:$E,'（居民）工资表-9月'!$E:$AC,25,0),0)</f>
        <v>0</v>
      </c>
      <c r="AD12" s="93">
        <f t="shared" si="6"/>
        <v>24450</v>
      </c>
      <c r="AE12" s="94">
        <f>ROUND(MAX((AD12)*{0.03;0.1;0.2;0.25;0.3;0.35;0.45}-{0;2520;16920;31920;52920;85920;181920},0),2)</f>
        <v>733.5</v>
      </c>
      <c r="AF12" s="95">
        <f>IFERROR(VLOOKUP(E:E,'（居民）工资表-9月'!E:AF,28,0)+VLOOKUP(E:E,'（居民）工资表-9月'!E:AG,29,0),0)</f>
        <v>611.25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108</v>
      </c>
      <c r="C13" s="37"/>
      <c r="D13" s="37" t="s">
        <v>52</v>
      </c>
      <c r="E13" s="37" t="s">
        <v>119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L13+IFERROR(VLOOKUP($E:$E,'（居民）工资表-9月'!$E:$S,15,0),0)</f>
        <v>72000</v>
      </c>
      <c r="T13" s="91">
        <f>5000+IFERROR(VLOOKUP($E:$E,'（居民）工资表-9月'!$E:$T,16,0),0)</f>
        <v>30000</v>
      </c>
      <c r="U13" s="91">
        <f>Q13+IFERROR(VLOOKUP($E:$E,'（居民）工资表-9月'!$E:$U,17,0),0)</f>
        <v>12600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R13+IFERROR(VLOOKUP($E:$E,'（居民）工资表-9月'!$E:$AC,25,0),0)</f>
        <v>0</v>
      </c>
      <c r="AD13" s="93">
        <f t="shared" si="6"/>
        <v>29400</v>
      </c>
      <c r="AE13" s="94">
        <f>ROUND(MAX((AD13)*{0.03;0.1;0.2;0.25;0.3;0.35;0.45}-{0;2520;16920;31920;52920;85920;181920},0),2)</f>
        <v>882</v>
      </c>
      <c r="AF13" s="95">
        <f>IFERROR(VLOOKUP(E:E,'（居民）工资表-9月'!E:AF,28,0)+VLOOKUP(E:E,'（居民）工资表-9月'!E:AG,29,0),0)</f>
        <v>735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108</v>
      </c>
      <c r="C14" s="37"/>
      <c r="D14" s="37" t="s">
        <v>52</v>
      </c>
      <c r="E14" s="37" t="s">
        <v>120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L14+IFERROR(VLOOKUP($E:$E,'（居民）工资表-9月'!$E:$S,15,0),0)</f>
        <v>78000</v>
      </c>
      <c r="T14" s="91">
        <f>5000+IFERROR(VLOOKUP($E:$E,'（居民）工资表-9月'!$E:$T,16,0),0)</f>
        <v>30000</v>
      </c>
      <c r="U14" s="91">
        <f>Q14+IFERROR(VLOOKUP($E:$E,'（居民）工资表-9月'!$E:$U,17,0),0)</f>
        <v>13650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R14+IFERROR(VLOOKUP($E:$E,'（居民）工资表-9月'!$E:$AC,25,0),0)</f>
        <v>0</v>
      </c>
      <c r="AD14" s="93">
        <f t="shared" si="6"/>
        <v>34350</v>
      </c>
      <c r="AE14" s="94">
        <f>ROUND(MAX((AD14)*{0.03;0.1;0.2;0.25;0.3;0.35;0.45}-{0;2520;16920;31920;52920;85920;181920},0),2)</f>
        <v>1030.5</v>
      </c>
      <c r="AF14" s="95">
        <f>IFERROR(VLOOKUP(E:E,'（居民）工资表-9月'!E:AF,28,0)+VLOOKUP(E:E,'（居民）工资表-9月'!E:AG,29,0),0)</f>
        <v>858.75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108</v>
      </c>
      <c r="C15" s="37"/>
      <c r="D15" s="37" t="s">
        <v>52</v>
      </c>
      <c r="E15" s="37" t="s">
        <v>121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L15+IFERROR(VLOOKUP($E:$E,'（居民）工资表-9月'!$E:$S,15,0),0)</f>
        <v>84000</v>
      </c>
      <c r="T15" s="91">
        <f>5000+IFERROR(VLOOKUP($E:$E,'（居民）工资表-9月'!$E:$T,16,0),0)</f>
        <v>30000</v>
      </c>
      <c r="U15" s="91">
        <f>Q15+IFERROR(VLOOKUP($E:$E,'（居民）工资表-9月'!$E:$U,17,0),0)</f>
        <v>14700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R15+IFERROR(VLOOKUP($E:$E,'（居民）工资表-9月'!$E:$AC,25,0),0)</f>
        <v>0</v>
      </c>
      <c r="AD15" s="93">
        <f t="shared" si="6"/>
        <v>39300</v>
      </c>
      <c r="AE15" s="94">
        <f>ROUND(MAX((AD15)*{0.03;0.1;0.2;0.25;0.3;0.35;0.45}-{0;2520;16920;31920;52920;85920;181920},0),2)</f>
        <v>1410</v>
      </c>
      <c r="AF15" s="95">
        <f>IFERROR(VLOOKUP(E:E,'（居民）工资表-9月'!E:AF,28,0)+VLOOKUP(E:E,'（居民）工资表-9月'!E:AG,29,0),0)</f>
        <v>982.5</v>
      </c>
      <c r="AG15" s="95">
        <f t="shared" si="7"/>
        <v>427.5</v>
      </c>
      <c r="AH15" s="102">
        <f t="shared" si="8"/>
        <v>11122.5</v>
      </c>
      <c r="AI15" s="103"/>
      <c r="AJ15" s="102">
        <f t="shared" si="9"/>
        <v>11122.5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108</v>
      </c>
      <c r="C16" s="37"/>
      <c r="D16" s="37" t="s">
        <v>52</v>
      </c>
      <c r="E16" s="37" t="s">
        <v>122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L16+IFERROR(VLOOKUP($E:$E,'（居民）工资表-9月'!$E:$S,15,0),0)</f>
        <v>90000</v>
      </c>
      <c r="T16" s="91">
        <f>5000+IFERROR(VLOOKUP($E:$E,'（居民）工资表-9月'!$E:$T,16,0),0)</f>
        <v>30000</v>
      </c>
      <c r="U16" s="91">
        <f>Q16+IFERROR(VLOOKUP($E:$E,'（居民）工资表-9月'!$E:$U,17,0),0)</f>
        <v>15750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R16+IFERROR(VLOOKUP($E:$E,'（居民）工资表-9月'!$E:$AC,25,0),0)</f>
        <v>0</v>
      </c>
      <c r="AD16" s="93">
        <f t="shared" si="6"/>
        <v>44250</v>
      </c>
      <c r="AE16" s="94">
        <f>ROUND(MAX((AD16)*{0.03;0.1;0.2;0.25;0.3;0.35;0.45}-{0;2520;16920;31920;52920;85920;181920},0),2)</f>
        <v>1905</v>
      </c>
      <c r="AF16" s="95">
        <f>IFERROR(VLOOKUP(E:E,'（居民）工资表-9月'!E:AF,28,0)+VLOOKUP(E:E,'（居民）工资表-9月'!E:AG,29,0),0)</f>
        <v>1167.5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108</v>
      </c>
      <c r="C17" s="37"/>
      <c r="D17" s="37" t="s">
        <v>52</v>
      </c>
      <c r="E17" s="37" t="s">
        <v>123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L17+IFERROR(VLOOKUP($E:$E,'（居民）工资表-9月'!$E:$S,15,0),0)</f>
        <v>96000</v>
      </c>
      <c r="T17" s="91">
        <f>5000+IFERROR(VLOOKUP($E:$E,'（居民）工资表-9月'!$E:$T,16,0),0)</f>
        <v>30000</v>
      </c>
      <c r="U17" s="91">
        <f>Q17+IFERROR(VLOOKUP($E:$E,'（居民）工资表-9月'!$E:$U,17,0),0)</f>
        <v>16800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R17+IFERROR(VLOOKUP($E:$E,'（居民）工资表-9月'!$E:$AC,25,0),0)</f>
        <v>0</v>
      </c>
      <c r="AD17" s="93">
        <f t="shared" si="6"/>
        <v>49200</v>
      </c>
      <c r="AE17" s="94">
        <f>ROUND(MAX((AD17)*{0.03;0.1;0.2;0.25;0.3;0.35;0.45}-{0;2520;16920;31920;52920;85920;181920},0),2)</f>
        <v>2400</v>
      </c>
      <c r="AF17" s="95">
        <f>IFERROR(VLOOKUP(E:E,'（居民）工资表-9月'!E:AF,28,0)+VLOOKUP(E:E,'（居民）工资表-9月'!E:AG,29,0),0)</f>
        <v>1580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108</v>
      </c>
      <c r="C18" s="37"/>
      <c r="D18" s="37" t="s">
        <v>52</v>
      </c>
      <c r="E18" s="37" t="s">
        <v>124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L18+IFERROR(VLOOKUP($E:$E,'（居民）工资表-9月'!$E:$S,15,0),0)</f>
        <v>102000</v>
      </c>
      <c r="T18" s="91">
        <f>5000+IFERROR(VLOOKUP($E:$E,'（居民）工资表-9月'!$E:$T,16,0),0)</f>
        <v>30000</v>
      </c>
      <c r="U18" s="91">
        <f>Q18+IFERROR(VLOOKUP($E:$E,'（居民）工资表-9月'!$E:$U,17,0),0)</f>
        <v>17850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R18+IFERROR(VLOOKUP($E:$E,'（居民）工资表-9月'!$E:$AC,25,0),0)</f>
        <v>0</v>
      </c>
      <c r="AD18" s="93">
        <f t="shared" si="6"/>
        <v>54150</v>
      </c>
      <c r="AE18" s="94">
        <f>ROUND(MAX((AD18)*{0.03;0.1;0.2;0.25;0.3;0.35;0.45}-{0;2520;16920;31920;52920;85920;181920},0),2)</f>
        <v>2895</v>
      </c>
      <c r="AF18" s="95">
        <f>IFERROR(VLOOKUP(E:E,'（居民）工资表-9月'!E:AF,28,0)+VLOOKUP(E:E,'（居民）工资表-9月'!E:AG,29,0),0)</f>
        <v>1992.5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108</v>
      </c>
      <c r="C19" s="37"/>
      <c r="D19" s="37" t="s">
        <v>52</v>
      </c>
      <c r="E19" s="37" t="s">
        <v>125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L19+IFERROR(VLOOKUP($E:$E,'（居民）工资表-9月'!$E:$S,15,0),0)</f>
        <v>108000</v>
      </c>
      <c r="T19" s="91">
        <f>5000+IFERROR(VLOOKUP($E:$E,'（居民）工资表-9月'!$E:$T,16,0),0)</f>
        <v>30000</v>
      </c>
      <c r="U19" s="91">
        <f>Q19+IFERROR(VLOOKUP($E:$E,'（居民）工资表-9月'!$E:$U,17,0),0)</f>
        <v>18900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R19+IFERROR(VLOOKUP($E:$E,'（居民）工资表-9月'!$E:$AC,25,0),0)</f>
        <v>0</v>
      </c>
      <c r="AD19" s="93">
        <f t="shared" si="6"/>
        <v>59100</v>
      </c>
      <c r="AE19" s="94">
        <f>ROUND(MAX((AD19)*{0.03;0.1;0.2;0.25;0.3;0.35;0.45}-{0;2520;16920;31920;52920;85920;181920},0),2)</f>
        <v>3390</v>
      </c>
      <c r="AF19" s="95">
        <f>IFERROR(VLOOKUP(E:E,'（居民）工资表-9月'!E:AF,28,0)+VLOOKUP(E:E,'（居民）工资表-9月'!E:AG,29,0),0)</f>
        <v>2405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108</v>
      </c>
      <c r="C20" s="37"/>
      <c r="D20" s="37" t="s">
        <v>52</v>
      </c>
      <c r="E20" s="37" t="s">
        <v>126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L20+IFERROR(VLOOKUP($E:$E,'（居民）工资表-9月'!$E:$S,15,0),0)</f>
        <v>114000</v>
      </c>
      <c r="T20" s="91">
        <f>5000+IFERROR(VLOOKUP($E:$E,'（居民）工资表-9月'!$E:$T,16,0),0)</f>
        <v>30000</v>
      </c>
      <c r="U20" s="91">
        <f>Q20+IFERROR(VLOOKUP($E:$E,'（居民）工资表-9月'!$E:$U,17,0),0)</f>
        <v>19950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R20+IFERROR(VLOOKUP($E:$E,'（居民）工资表-9月'!$E:$AC,25,0),0)</f>
        <v>0</v>
      </c>
      <c r="AD20" s="93">
        <f t="shared" si="6"/>
        <v>64050</v>
      </c>
      <c r="AE20" s="94">
        <f>ROUND(MAX((AD20)*{0.03;0.1;0.2;0.25;0.3;0.35;0.45}-{0;2520;16920;31920;52920;85920;181920},0),2)</f>
        <v>3885</v>
      </c>
      <c r="AF20" s="95">
        <f>IFERROR(VLOOKUP(E:E,'（居民）工资表-9月'!E:AF,28,0)+VLOOKUP(E:E,'（居民）工资表-9月'!E:AG,29,0),0)</f>
        <v>2817.5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108</v>
      </c>
      <c r="C21" s="37"/>
      <c r="D21" s="37" t="s">
        <v>52</v>
      </c>
      <c r="E21" s="37" t="s">
        <v>127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L21+IFERROR(VLOOKUP($E:$E,'（居民）工资表-9月'!$E:$S,15,0),0)</f>
        <v>120000</v>
      </c>
      <c r="T21" s="91">
        <f>5000+IFERROR(VLOOKUP($E:$E,'（居民）工资表-9月'!$E:$T,16,0),0)</f>
        <v>30000</v>
      </c>
      <c r="U21" s="91">
        <f>Q21+IFERROR(VLOOKUP($E:$E,'（居民）工资表-9月'!$E:$U,17,0),0)</f>
        <v>21000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R21+IFERROR(VLOOKUP($E:$E,'（居民）工资表-9月'!$E:$AC,25,0),0)</f>
        <v>0</v>
      </c>
      <c r="AD21" s="93">
        <f t="shared" si="6"/>
        <v>69000</v>
      </c>
      <c r="AE21" s="94">
        <f>ROUND(MAX((AD21)*{0.03;0.1;0.2;0.25;0.3;0.35;0.45}-{0;2520;16920;31920;52920;85920;181920},0),2)</f>
        <v>4380</v>
      </c>
      <c r="AF21" s="95">
        <f>IFERROR(VLOOKUP(E:E,'（居民）工资表-9月'!E:AF,28,0)+VLOOKUP(E:E,'（居民）工资表-9月'!E:AG,29,0),0)</f>
        <v>3230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108</v>
      </c>
      <c r="C22" s="37"/>
      <c r="D22" s="37" t="s">
        <v>52</v>
      </c>
      <c r="E22" s="37" t="s">
        <v>128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L22+IFERROR(VLOOKUP($E:$E,'（居民）工资表-9月'!$E:$S,15,0),0)</f>
        <v>126000</v>
      </c>
      <c r="T22" s="91">
        <f>5000+IFERROR(VLOOKUP($E:$E,'（居民）工资表-9月'!$E:$T,16,0),0)</f>
        <v>30000</v>
      </c>
      <c r="U22" s="91">
        <f>Q22+IFERROR(VLOOKUP($E:$E,'（居民）工资表-9月'!$E:$U,17,0),0)</f>
        <v>22050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R22+IFERROR(VLOOKUP($E:$E,'（居民）工资表-9月'!$E:$AC,25,0),0)</f>
        <v>0</v>
      </c>
      <c r="AD22" s="93">
        <f t="shared" si="6"/>
        <v>73950</v>
      </c>
      <c r="AE22" s="94">
        <f>ROUND(MAX((AD22)*{0.03;0.1;0.2;0.25;0.3;0.35;0.45}-{0;2520;16920;31920;52920;85920;181920},0),2)</f>
        <v>4875</v>
      </c>
      <c r="AF22" s="95">
        <f>IFERROR(VLOOKUP(E:E,'（居民）工资表-9月'!E:AF,28,0)+VLOOKUP(E:E,'（居民）工资表-9月'!E:AG,29,0),0)</f>
        <v>3642.5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108</v>
      </c>
      <c r="C23" s="37"/>
      <c r="D23" s="37" t="s">
        <v>52</v>
      </c>
      <c r="E23" s="37" t="s">
        <v>129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L23+IFERROR(VLOOKUP($E:$E,'（居民）工资表-9月'!$E:$S,15,0),0)</f>
        <v>132000</v>
      </c>
      <c r="T23" s="91">
        <f>5000+IFERROR(VLOOKUP($E:$E,'（居民）工资表-9月'!$E:$T,16,0),0)</f>
        <v>30000</v>
      </c>
      <c r="U23" s="91">
        <f>Q23+IFERROR(VLOOKUP($E:$E,'（居民）工资表-9月'!$E:$U,17,0),0)</f>
        <v>23100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R23+IFERROR(VLOOKUP($E:$E,'（居民）工资表-9月'!$E:$AC,25,0),0)</f>
        <v>0</v>
      </c>
      <c r="AD23" s="93">
        <f t="shared" si="6"/>
        <v>78900</v>
      </c>
      <c r="AE23" s="94">
        <f>ROUND(MAX((AD23)*{0.03;0.1;0.2;0.25;0.3;0.35;0.45}-{0;2520;16920;31920;52920;85920;181920},0),2)</f>
        <v>5370</v>
      </c>
      <c r="AF23" s="95">
        <f>IFERROR(VLOOKUP(E:E,'（居民）工资表-9月'!E:AF,28,0)+VLOOKUP(E:E,'（居民）工资表-9月'!E:AG,29,0),0)</f>
        <v>4055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1500000</v>
      </c>
      <c r="T24" s="74">
        <f t="shared" si="12"/>
        <v>600000</v>
      </c>
      <c r="U24" s="74">
        <f t="shared" si="12"/>
        <v>262500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637500</v>
      </c>
      <c r="AE24" s="74">
        <f t="shared" si="12"/>
        <v>34605</v>
      </c>
      <c r="AF24" s="74">
        <f t="shared" si="12"/>
        <v>25285</v>
      </c>
      <c r="AG24" s="74">
        <f t="shared" si="12"/>
        <v>9320</v>
      </c>
      <c r="AH24" s="74">
        <f t="shared" si="12"/>
        <v>196930</v>
      </c>
      <c r="AI24" s="105">
        <f t="shared" si="12"/>
        <v>0</v>
      </c>
      <c r="AJ24" s="74">
        <f t="shared" si="12"/>
        <v>196930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196930</v>
      </c>
      <c r="C29" s="48">
        <f>AG24</f>
        <v>9320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108</v>
      </c>
      <c r="C4" s="37"/>
      <c r="D4" s="37" t="s">
        <v>52</v>
      </c>
      <c r="E4" s="37" t="s">
        <v>110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L4+IFERROR(VLOOKUP($E:$E,'（居民）工资表-10月'!$E:$S,15,0),0)</f>
        <v>21000</v>
      </c>
      <c r="T4" s="91">
        <f>5000+IFERROR(VLOOKUP($E:$E,'（居民）工资表-10月'!$E:$T,16,0),0)</f>
        <v>35000</v>
      </c>
      <c r="U4" s="91">
        <f>Q4+IFERROR(VLOOKUP($E:$E,'（居民）工资表-10月'!$E:$U,17,0),0)</f>
        <v>3675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R4+IFERROR(VLOOKUP($E:$E,'（居民）工资表-10月'!$E:$AC,25,0),0)</f>
        <v>0</v>
      </c>
      <c r="AD4" s="93">
        <f>ROUND(S4-T4-U4-AB4-AC4,2)</f>
        <v>-17675</v>
      </c>
      <c r="AE4" s="94">
        <f>ROUND(MAX((AD4)*{0.03;0.1;0.2;0.25;0.3;0.35;0.45}-{0;2520;16920;31920;52920;85920;181920},0),2)</f>
        <v>0</v>
      </c>
      <c r="AF4" s="95">
        <f>IFERROR(VLOOKUP(E:E,'（居民）工资表-10月'!E:AF,28,0)+VLOOKUP(E:E,'（居民）工资表-10月'!E:AG,29,0),0)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108</v>
      </c>
      <c r="C5" s="37"/>
      <c r="D5" s="37" t="s">
        <v>52</v>
      </c>
      <c r="E5" s="37" t="s">
        <v>111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L5+IFERROR(VLOOKUP($E:$E,'（居民）工资表-10月'!$E:$S,15,0),0)</f>
        <v>28000</v>
      </c>
      <c r="T5" s="91">
        <f>5000+IFERROR(VLOOKUP($E:$E,'（居民）工资表-10月'!$E:$T,16,0),0)</f>
        <v>35000</v>
      </c>
      <c r="U5" s="91">
        <f>Q5+IFERROR(VLOOKUP($E:$E,'（居民）工资表-10月'!$E:$U,17,0),0)</f>
        <v>4900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R5+IFERROR(VLOOKUP($E:$E,'（居民）工资表-10月'!$E:$AC,25,0),0)</f>
        <v>0</v>
      </c>
      <c r="AD5" s="93">
        <f t="shared" ref="AD5:AD23" si="6">ROUND(S5-T5-U5-AB5-AC5,2)</f>
        <v>-11900</v>
      </c>
      <c r="AE5" s="94">
        <f>ROUND(MAX((AD5)*{0.03;0.1;0.2;0.25;0.3;0.35;0.45}-{0;2520;16920;31920;52920;85920;181920},0),2)</f>
        <v>0</v>
      </c>
      <c r="AF5" s="95">
        <f>IFERROR(VLOOKUP(E:E,'（居民）工资表-10月'!E:AF,28,0)+VLOOKUP(E:E,'（居民）工资表-10月'!E:AG,29,0),0)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108</v>
      </c>
      <c r="C6" s="37"/>
      <c r="D6" s="37" t="s">
        <v>52</v>
      </c>
      <c r="E6" s="37" t="s">
        <v>112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L6+IFERROR(VLOOKUP($E:$E,'（居民）工资表-10月'!$E:$S,15,0),0)</f>
        <v>35000</v>
      </c>
      <c r="T6" s="91">
        <f>5000+IFERROR(VLOOKUP($E:$E,'（居民）工资表-10月'!$E:$T,16,0),0)</f>
        <v>35000</v>
      </c>
      <c r="U6" s="91">
        <f>Q6+IFERROR(VLOOKUP($E:$E,'（居民）工资表-10月'!$E:$U,17,0),0)</f>
        <v>6125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R6+IFERROR(VLOOKUP($E:$E,'（居民）工资表-10月'!$E:$AC,25,0),0)</f>
        <v>0</v>
      </c>
      <c r="AD6" s="93">
        <f t="shared" si="6"/>
        <v>-6125</v>
      </c>
      <c r="AE6" s="94">
        <f>ROUND(MAX((AD6)*{0.03;0.1;0.2;0.25;0.3;0.35;0.45}-{0;2520;16920;31920;52920;85920;181920},0),2)</f>
        <v>0</v>
      </c>
      <c r="AF6" s="95">
        <f>IFERROR(VLOOKUP(E:E,'（居民）工资表-10月'!E:AF,28,0)+VLOOKUP(E:E,'（居民）工资表-10月'!E:AG,29,0),0)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108</v>
      </c>
      <c r="C7" s="37"/>
      <c r="D7" s="37" t="s">
        <v>52</v>
      </c>
      <c r="E7" s="37" t="s">
        <v>113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L7+IFERROR(VLOOKUP($E:$E,'（居民）工资表-10月'!$E:$S,15,0),0)</f>
        <v>42000</v>
      </c>
      <c r="T7" s="91">
        <f>5000+IFERROR(VLOOKUP($E:$E,'（居民）工资表-10月'!$E:$T,16,0),0)</f>
        <v>35000</v>
      </c>
      <c r="U7" s="91">
        <f>Q7+IFERROR(VLOOKUP($E:$E,'（居民）工资表-10月'!$E:$U,17,0),0)</f>
        <v>7350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R7+IFERROR(VLOOKUP($E:$E,'（居民）工资表-10月'!$E:$AC,25,0),0)</f>
        <v>0</v>
      </c>
      <c r="AD7" s="93">
        <f t="shared" si="6"/>
        <v>-350</v>
      </c>
      <c r="AE7" s="94">
        <f>ROUND(MAX((AD7)*{0.03;0.1;0.2;0.25;0.3;0.35;0.45}-{0;2520;16920;31920;52920;85920;181920},0),2)</f>
        <v>0</v>
      </c>
      <c r="AF7" s="95">
        <f>IFERROR(VLOOKUP(E:E,'（居民）工资表-10月'!E:AF,28,0)+VLOOKUP(E:E,'（居民）工资表-10月'!E:AG,29,0),0)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108</v>
      </c>
      <c r="C8" s="37"/>
      <c r="D8" s="37" t="s">
        <v>52</v>
      </c>
      <c r="E8" s="37" t="s">
        <v>114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L8+IFERROR(VLOOKUP($E:$E,'（居民）工资表-10月'!$E:$S,15,0),0)</f>
        <v>49000</v>
      </c>
      <c r="T8" s="91">
        <f>5000+IFERROR(VLOOKUP($E:$E,'（居民）工资表-10月'!$E:$T,16,0),0)</f>
        <v>35000</v>
      </c>
      <c r="U8" s="91">
        <f>Q8+IFERROR(VLOOKUP($E:$E,'（居民）工资表-10月'!$E:$U,17,0),0)</f>
        <v>8575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R8+IFERROR(VLOOKUP($E:$E,'（居民）工资表-10月'!$E:$AC,25,0),0)</f>
        <v>0</v>
      </c>
      <c r="AD8" s="93">
        <f t="shared" si="6"/>
        <v>5425</v>
      </c>
      <c r="AE8" s="94">
        <f>ROUND(MAX((AD8)*{0.03;0.1;0.2;0.25;0.3;0.35;0.45}-{0;2520;16920;31920;52920;85920;181920},0),2)</f>
        <v>162.75</v>
      </c>
      <c r="AF8" s="95">
        <f>IFERROR(VLOOKUP(E:E,'（居民）工资表-10月'!E:AF,28,0)+VLOOKUP(E:E,'（居民）工资表-10月'!E:AG,29,0),0)</f>
        <v>139.5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108</v>
      </c>
      <c r="C9" s="37"/>
      <c r="D9" s="37" t="s">
        <v>52</v>
      </c>
      <c r="E9" s="37" t="s">
        <v>115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L9+IFERROR(VLOOKUP($E:$E,'（居民）工资表-10月'!$E:$S,15,0),0)</f>
        <v>56000</v>
      </c>
      <c r="T9" s="91">
        <f>5000+IFERROR(VLOOKUP($E:$E,'（居民）工资表-10月'!$E:$T,16,0),0)</f>
        <v>35000</v>
      </c>
      <c r="U9" s="91">
        <f>Q9+IFERROR(VLOOKUP($E:$E,'（居民）工资表-10月'!$E:$U,17,0),0)</f>
        <v>9800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R9+IFERROR(VLOOKUP($E:$E,'（居民）工资表-10月'!$E:$AC,25,0),0)</f>
        <v>0</v>
      </c>
      <c r="AD9" s="93">
        <f t="shared" si="6"/>
        <v>11200</v>
      </c>
      <c r="AE9" s="94">
        <f>ROUND(MAX((AD9)*{0.03;0.1;0.2;0.25;0.3;0.35;0.45}-{0;2520;16920;31920;52920;85920;181920},0),2)</f>
        <v>336</v>
      </c>
      <c r="AF9" s="95">
        <f>IFERROR(VLOOKUP(E:E,'（居民）工资表-10月'!E:AF,28,0)+VLOOKUP(E:E,'（居民）工资表-10月'!E:AG,29,0),0)</f>
        <v>288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108</v>
      </c>
      <c r="C10" s="37"/>
      <c r="D10" s="37" t="s">
        <v>52</v>
      </c>
      <c r="E10" s="37" t="s">
        <v>116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L10+IFERROR(VLOOKUP($E:$E,'（居民）工资表-10月'!$E:$S,15,0),0)</f>
        <v>63000</v>
      </c>
      <c r="T10" s="91">
        <f>5000+IFERROR(VLOOKUP($E:$E,'（居民）工资表-10月'!$E:$T,16,0),0)</f>
        <v>35000</v>
      </c>
      <c r="U10" s="91">
        <f>Q10+IFERROR(VLOOKUP($E:$E,'（居民）工资表-10月'!$E:$U,17,0),0)</f>
        <v>11025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R10+IFERROR(VLOOKUP($E:$E,'（居民）工资表-10月'!$E:$AC,25,0),0)</f>
        <v>0</v>
      </c>
      <c r="AD10" s="93">
        <f t="shared" si="6"/>
        <v>16975</v>
      </c>
      <c r="AE10" s="94">
        <f>ROUND(MAX((AD10)*{0.03;0.1;0.2;0.25;0.3;0.35;0.45}-{0;2520;16920;31920;52920;85920;181920},0),2)</f>
        <v>509.25</v>
      </c>
      <c r="AF10" s="95">
        <f>IFERROR(VLOOKUP(E:E,'（居民）工资表-10月'!E:AF,28,0)+VLOOKUP(E:E,'（居民）工资表-10月'!E:AG,29,0),0)</f>
        <v>436.5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108</v>
      </c>
      <c r="C11" s="37"/>
      <c r="D11" s="37" t="s">
        <v>52</v>
      </c>
      <c r="E11" s="37" t="s">
        <v>117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L11+IFERROR(VLOOKUP($E:$E,'（居民）工资表-10月'!$E:$S,15,0),0)</f>
        <v>70000</v>
      </c>
      <c r="T11" s="91">
        <f>5000+IFERROR(VLOOKUP($E:$E,'（居民）工资表-10月'!$E:$T,16,0),0)</f>
        <v>35000</v>
      </c>
      <c r="U11" s="91">
        <f>Q11+IFERROR(VLOOKUP($E:$E,'（居民）工资表-10月'!$E:$U,17,0),0)</f>
        <v>12250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R11+IFERROR(VLOOKUP($E:$E,'（居民）工资表-10月'!$E:$AC,25,0),0)</f>
        <v>0</v>
      </c>
      <c r="AD11" s="93">
        <f t="shared" si="6"/>
        <v>22750</v>
      </c>
      <c r="AE11" s="94">
        <f>ROUND(MAX((AD11)*{0.03;0.1;0.2;0.25;0.3;0.35;0.45}-{0;2520;16920;31920;52920;85920;181920},0),2)</f>
        <v>682.5</v>
      </c>
      <c r="AF11" s="95">
        <f>IFERROR(VLOOKUP(E:E,'（居民）工资表-10月'!E:AF,28,0)+VLOOKUP(E:E,'（居民）工资表-10月'!E:AG,29,0),0)</f>
        <v>585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108</v>
      </c>
      <c r="C12" s="37"/>
      <c r="D12" s="37" t="s">
        <v>52</v>
      </c>
      <c r="E12" s="37" t="s">
        <v>118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L12+IFERROR(VLOOKUP($E:$E,'（居民）工资表-10月'!$E:$S,15,0),0)</f>
        <v>77000</v>
      </c>
      <c r="T12" s="91">
        <f>5000+IFERROR(VLOOKUP($E:$E,'（居民）工资表-10月'!$E:$T,16,0),0)</f>
        <v>35000</v>
      </c>
      <c r="U12" s="91">
        <f>Q12+IFERROR(VLOOKUP($E:$E,'（居民）工资表-10月'!$E:$U,17,0),0)</f>
        <v>13475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R12+IFERROR(VLOOKUP($E:$E,'（居民）工资表-10月'!$E:$AC,25,0),0)</f>
        <v>0</v>
      </c>
      <c r="AD12" s="93">
        <f t="shared" si="6"/>
        <v>28525</v>
      </c>
      <c r="AE12" s="94">
        <f>ROUND(MAX((AD12)*{0.03;0.1;0.2;0.25;0.3;0.35;0.45}-{0;2520;16920;31920;52920;85920;181920},0),2)</f>
        <v>855.75</v>
      </c>
      <c r="AF12" s="95">
        <f>IFERROR(VLOOKUP(E:E,'（居民）工资表-10月'!E:AF,28,0)+VLOOKUP(E:E,'（居民）工资表-10月'!E:AG,29,0),0)</f>
        <v>733.5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108</v>
      </c>
      <c r="C13" s="37"/>
      <c r="D13" s="37" t="s">
        <v>52</v>
      </c>
      <c r="E13" s="37" t="s">
        <v>119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L13+IFERROR(VLOOKUP($E:$E,'（居民）工资表-10月'!$E:$S,15,0),0)</f>
        <v>84000</v>
      </c>
      <c r="T13" s="91">
        <f>5000+IFERROR(VLOOKUP($E:$E,'（居民）工资表-10月'!$E:$T,16,0),0)</f>
        <v>35000</v>
      </c>
      <c r="U13" s="91">
        <f>Q13+IFERROR(VLOOKUP($E:$E,'（居民）工资表-10月'!$E:$U,17,0),0)</f>
        <v>14700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R13+IFERROR(VLOOKUP($E:$E,'（居民）工资表-10月'!$E:$AC,25,0),0)</f>
        <v>0</v>
      </c>
      <c r="AD13" s="93">
        <f t="shared" si="6"/>
        <v>34300</v>
      </c>
      <c r="AE13" s="94">
        <f>ROUND(MAX((AD13)*{0.03;0.1;0.2;0.25;0.3;0.35;0.45}-{0;2520;16920;31920;52920;85920;181920},0),2)</f>
        <v>1029</v>
      </c>
      <c r="AF13" s="95">
        <f>IFERROR(VLOOKUP(E:E,'（居民）工资表-10月'!E:AF,28,0)+VLOOKUP(E:E,'（居民）工资表-10月'!E:AG,29,0),0)</f>
        <v>882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108</v>
      </c>
      <c r="C14" s="37"/>
      <c r="D14" s="37" t="s">
        <v>52</v>
      </c>
      <c r="E14" s="37" t="s">
        <v>120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L14+IFERROR(VLOOKUP($E:$E,'（居民）工资表-10月'!$E:$S,15,0),0)</f>
        <v>91000</v>
      </c>
      <c r="T14" s="91">
        <f>5000+IFERROR(VLOOKUP($E:$E,'（居民）工资表-10月'!$E:$T,16,0),0)</f>
        <v>35000</v>
      </c>
      <c r="U14" s="91">
        <f>Q14+IFERROR(VLOOKUP($E:$E,'（居民）工资表-10月'!$E:$U,17,0),0)</f>
        <v>15925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R14+IFERROR(VLOOKUP($E:$E,'（居民）工资表-10月'!$E:$AC,25,0),0)</f>
        <v>0</v>
      </c>
      <c r="AD14" s="93">
        <f t="shared" si="6"/>
        <v>40075</v>
      </c>
      <c r="AE14" s="94">
        <f>ROUND(MAX((AD14)*{0.03;0.1;0.2;0.25;0.3;0.35;0.45}-{0;2520;16920;31920;52920;85920;181920},0),2)</f>
        <v>1487.5</v>
      </c>
      <c r="AF14" s="95">
        <f>IFERROR(VLOOKUP(E:E,'（居民）工资表-10月'!E:AF,28,0)+VLOOKUP(E:E,'（居民）工资表-10月'!E:AG,29,0),0)</f>
        <v>1030.5</v>
      </c>
      <c r="AG14" s="95">
        <f t="shared" si="7"/>
        <v>457</v>
      </c>
      <c r="AH14" s="102">
        <f t="shared" si="8"/>
        <v>10268</v>
      </c>
      <c r="AI14" s="103"/>
      <c r="AJ14" s="102">
        <f t="shared" si="9"/>
        <v>10268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108</v>
      </c>
      <c r="C15" s="37"/>
      <c r="D15" s="37" t="s">
        <v>52</v>
      </c>
      <c r="E15" s="37" t="s">
        <v>121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L15+IFERROR(VLOOKUP($E:$E,'（居民）工资表-10月'!$E:$S,15,0),0)</f>
        <v>98000</v>
      </c>
      <c r="T15" s="91">
        <f>5000+IFERROR(VLOOKUP($E:$E,'（居民）工资表-10月'!$E:$T,16,0),0)</f>
        <v>35000</v>
      </c>
      <c r="U15" s="91">
        <f>Q15+IFERROR(VLOOKUP($E:$E,'（居民）工资表-10月'!$E:$U,17,0),0)</f>
        <v>17150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R15+IFERROR(VLOOKUP($E:$E,'（居民）工资表-10月'!$E:$AC,25,0),0)</f>
        <v>0</v>
      </c>
      <c r="AD15" s="93">
        <f t="shared" si="6"/>
        <v>45850</v>
      </c>
      <c r="AE15" s="94">
        <f>ROUND(MAX((AD15)*{0.03;0.1;0.2;0.25;0.3;0.35;0.45}-{0;2520;16920;31920;52920;85920;181920},0),2)</f>
        <v>2065</v>
      </c>
      <c r="AF15" s="95">
        <f>IFERROR(VLOOKUP(E:E,'（居民）工资表-10月'!E:AF,28,0)+VLOOKUP(E:E,'（居民）工资表-10月'!E:AG,29,0),0)</f>
        <v>1410</v>
      </c>
      <c r="AG15" s="95">
        <f t="shared" si="7"/>
        <v>655</v>
      </c>
      <c r="AH15" s="102">
        <f t="shared" si="8"/>
        <v>10895</v>
      </c>
      <c r="AI15" s="103"/>
      <c r="AJ15" s="102">
        <f t="shared" si="9"/>
        <v>10895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108</v>
      </c>
      <c r="C16" s="37"/>
      <c r="D16" s="37" t="s">
        <v>52</v>
      </c>
      <c r="E16" s="37" t="s">
        <v>122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L16+IFERROR(VLOOKUP($E:$E,'（居民）工资表-10月'!$E:$S,15,0),0)</f>
        <v>105000</v>
      </c>
      <c r="T16" s="91">
        <f>5000+IFERROR(VLOOKUP($E:$E,'（居民）工资表-10月'!$E:$T,16,0),0)</f>
        <v>35000</v>
      </c>
      <c r="U16" s="91">
        <f>Q16+IFERROR(VLOOKUP($E:$E,'（居民）工资表-10月'!$E:$U,17,0),0)</f>
        <v>18375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R16+IFERROR(VLOOKUP($E:$E,'（居民）工资表-10月'!$E:$AC,25,0),0)</f>
        <v>0</v>
      </c>
      <c r="AD16" s="93">
        <f t="shared" si="6"/>
        <v>51625</v>
      </c>
      <c r="AE16" s="94">
        <f>ROUND(MAX((AD16)*{0.03;0.1;0.2;0.25;0.3;0.35;0.45}-{0;2520;16920;31920;52920;85920;181920},0),2)</f>
        <v>2642.5</v>
      </c>
      <c r="AF16" s="95">
        <f>IFERROR(VLOOKUP(E:E,'（居民）工资表-10月'!E:AF,28,0)+VLOOKUP(E:E,'（居民）工资表-10月'!E:AG,29,0),0)</f>
        <v>1905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108</v>
      </c>
      <c r="C17" s="37"/>
      <c r="D17" s="37" t="s">
        <v>52</v>
      </c>
      <c r="E17" s="37" t="s">
        <v>123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L17+IFERROR(VLOOKUP($E:$E,'（居民）工资表-10月'!$E:$S,15,0),0)</f>
        <v>112000</v>
      </c>
      <c r="T17" s="91">
        <f>5000+IFERROR(VLOOKUP($E:$E,'（居民）工资表-10月'!$E:$T,16,0),0)</f>
        <v>35000</v>
      </c>
      <c r="U17" s="91">
        <f>Q17+IFERROR(VLOOKUP($E:$E,'（居民）工资表-10月'!$E:$U,17,0),0)</f>
        <v>19600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R17+IFERROR(VLOOKUP($E:$E,'（居民）工资表-10月'!$E:$AC,25,0),0)</f>
        <v>0</v>
      </c>
      <c r="AD17" s="93">
        <f t="shared" si="6"/>
        <v>57400</v>
      </c>
      <c r="AE17" s="94">
        <f>ROUND(MAX((AD17)*{0.03;0.1;0.2;0.25;0.3;0.35;0.45}-{0;2520;16920;31920;52920;85920;181920},0),2)</f>
        <v>3220</v>
      </c>
      <c r="AF17" s="95">
        <f>IFERROR(VLOOKUP(E:E,'（居民）工资表-10月'!E:AF,28,0)+VLOOKUP(E:E,'（居民）工资表-10月'!E:AG,29,0),0)</f>
        <v>2400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108</v>
      </c>
      <c r="C18" s="37"/>
      <c r="D18" s="37" t="s">
        <v>52</v>
      </c>
      <c r="E18" s="37" t="s">
        <v>124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L18+IFERROR(VLOOKUP($E:$E,'（居民）工资表-10月'!$E:$S,15,0),0)</f>
        <v>119000</v>
      </c>
      <c r="T18" s="91">
        <f>5000+IFERROR(VLOOKUP($E:$E,'（居民）工资表-10月'!$E:$T,16,0),0)</f>
        <v>35000</v>
      </c>
      <c r="U18" s="91">
        <f>Q18+IFERROR(VLOOKUP($E:$E,'（居民）工资表-10月'!$E:$U,17,0),0)</f>
        <v>20825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R18+IFERROR(VLOOKUP($E:$E,'（居民）工资表-10月'!$E:$AC,25,0),0)</f>
        <v>0</v>
      </c>
      <c r="AD18" s="93">
        <f t="shared" si="6"/>
        <v>63175</v>
      </c>
      <c r="AE18" s="94">
        <f>ROUND(MAX((AD18)*{0.03;0.1;0.2;0.25;0.3;0.35;0.45}-{0;2520;16920;31920;52920;85920;181920},0),2)</f>
        <v>3797.5</v>
      </c>
      <c r="AF18" s="95">
        <f>IFERROR(VLOOKUP(E:E,'（居民）工资表-10月'!E:AF,28,0)+VLOOKUP(E:E,'（居民）工资表-10月'!E:AG,29,0),0)</f>
        <v>2895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108</v>
      </c>
      <c r="C19" s="37"/>
      <c r="D19" s="37" t="s">
        <v>52</v>
      </c>
      <c r="E19" s="37" t="s">
        <v>125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L19+IFERROR(VLOOKUP($E:$E,'（居民）工资表-10月'!$E:$S,15,0),0)</f>
        <v>126000</v>
      </c>
      <c r="T19" s="91">
        <f>5000+IFERROR(VLOOKUP($E:$E,'（居民）工资表-10月'!$E:$T,16,0),0)</f>
        <v>35000</v>
      </c>
      <c r="U19" s="91">
        <f>Q19+IFERROR(VLOOKUP($E:$E,'（居民）工资表-10月'!$E:$U,17,0),0)</f>
        <v>22050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R19+IFERROR(VLOOKUP($E:$E,'（居民）工资表-10月'!$E:$AC,25,0),0)</f>
        <v>0</v>
      </c>
      <c r="AD19" s="93">
        <f t="shared" si="6"/>
        <v>68950</v>
      </c>
      <c r="AE19" s="94">
        <f>ROUND(MAX((AD19)*{0.03;0.1;0.2;0.25;0.3;0.35;0.45}-{0;2520;16920;31920;52920;85920;181920},0),2)</f>
        <v>4375</v>
      </c>
      <c r="AF19" s="95">
        <f>IFERROR(VLOOKUP(E:E,'（居民）工资表-10月'!E:AF,28,0)+VLOOKUP(E:E,'（居民）工资表-10月'!E:AG,29,0),0)</f>
        <v>3390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108</v>
      </c>
      <c r="C20" s="37"/>
      <c r="D20" s="37" t="s">
        <v>52</v>
      </c>
      <c r="E20" s="37" t="s">
        <v>126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L20+IFERROR(VLOOKUP($E:$E,'（居民）工资表-10月'!$E:$S,15,0),0)</f>
        <v>133000</v>
      </c>
      <c r="T20" s="91">
        <f>5000+IFERROR(VLOOKUP($E:$E,'（居民）工资表-10月'!$E:$T,16,0),0)</f>
        <v>35000</v>
      </c>
      <c r="U20" s="91">
        <f>Q20+IFERROR(VLOOKUP($E:$E,'（居民）工资表-10月'!$E:$U,17,0),0)</f>
        <v>23275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R20+IFERROR(VLOOKUP($E:$E,'（居民）工资表-10月'!$E:$AC,25,0),0)</f>
        <v>0</v>
      </c>
      <c r="AD20" s="93">
        <f t="shared" si="6"/>
        <v>74725</v>
      </c>
      <c r="AE20" s="94">
        <f>ROUND(MAX((AD20)*{0.03;0.1;0.2;0.25;0.3;0.35;0.45}-{0;2520;16920;31920;52920;85920;181920},0),2)</f>
        <v>4952.5</v>
      </c>
      <c r="AF20" s="95">
        <f>IFERROR(VLOOKUP(E:E,'（居民）工资表-10月'!E:AF,28,0)+VLOOKUP(E:E,'（居民）工资表-10月'!E:AG,29,0),0)</f>
        <v>3885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108</v>
      </c>
      <c r="C21" s="37"/>
      <c r="D21" s="37" t="s">
        <v>52</v>
      </c>
      <c r="E21" s="37" t="s">
        <v>127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L21+IFERROR(VLOOKUP($E:$E,'（居民）工资表-10月'!$E:$S,15,0),0)</f>
        <v>140000</v>
      </c>
      <c r="T21" s="91">
        <f>5000+IFERROR(VLOOKUP($E:$E,'（居民）工资表-10月'!$E:$T,16,0),0)</f>
        <v>35000</v>
      </c>
      <c r="U21" s="91">
        <f>Q21+IFERROR(VLOOKUP($E:$E,'（居民）工资表-10月'!$E:$U,17,0),0)</f>
        <v>24500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R21+IFERROR(VLOOKUP($E:$E,'（居民）工资表-10月'!$E:$AC,25,0),0)</f>
        <v>0</v>
      </c>
      <c r="AD21" s="93">
        <f t="shared" si="6"/>
        <v>80500</v>
      </c>
      <c r="AE21" s="94">
        <f>ROUND(MAX((AD21)*{0.03;0.1;0.2;0.25;0.3;0.35;0.45}-{0;2520;16920;31920;52920;85920;181920},0),2)</f>
        <v>5530</v>
      </c>
      <c r="AF21" s="95">
        <f>IFERROR(VLOOKUP(E:E,'（居民）工资表-10月'!E:AF,28,0)+VLOOKUP(E:E,'（居民）工资表-10月'!E:AG,29,0),0)</f>
        <v>4380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108</v>
      </c>
      <c r="C22" s="37"/>
      <c r="D22" s="37" t="s">
        <v>52</v>
      </c>
      <c r="E22" s="37" t="s">
        <v>128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L22+IFERROR(VLOOKUP($E:$E,'（居民）工资表-10月'!$E:$S,15,0),0)</f>
        <v>147000</v>
      </c>
      <c r="T22" s="91">
        <f>5000+IFERROR(VLOOKUP($E:$E,'（居民）工资表-10月'!$E:$T,16,0),0)</f>
        <v>35000</v>
      </c>
      <c r="U22" s="91">
        <f>Q22+IFERROR(VLOOKUP($E:$E,'（居民）工资表-10月'!$E:$U,17,0),0)</f>
        <v>25725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R22+IFERROR(VLOOKUP($E:$E,'（居民）工资表-10月'!$E:$AC,25,0),0)</f>
        <v>0</v>
      </c>
      <c r="AD22" s="93">
        <f t="shared" si="6"/>
        <v>86275</v>
      </c>
      <c r="AE22" s="94">
        <f>ROUND(MAX((AD22)*{0.03;0.1;0.2;0.25;0.3;0.35;0.45}-{0;2520;16920;31920;52920;85920;181920},0),2)</f>
        <v>6107.5</v>
      </c>
      <c r="AF22" s="95">
        <f>IFERROR(VLOOKUP(E:E,'（居民）工资表-10月'!E:AF,28,0)+VLOOKUP(E:E,'（居民）工资表-10月'!E:AG,29,0),0)</f>
        <v>4875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108</v>
      </c>
      <c r="C23" s="37"/>
      <c r="D23" s="37" t="s">
        <v>52</v>
      </c>
      <c r="E23" s="37" t="s">
        <v>129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L23+IFERROR(VLOOKUP($E:$E,'（居民）工资表-10月'!$E:$S,15,0),0)</f>
        <v>154000</v>
      </c>
      <c r="T23" s="91">
        <f>5000+IFERROR(VLOOKUP($E:$E,'（居民）工资表-10月'!$E:$T,16,0),0)</f>
        <v>35000</v>
      </c>
      <c r="U23" s="91">
        <f>Q23+IFERROR(VLOOKUP($E:$E,'（居民）工资表-10月'!$E:$U,17,0),0)</f>
        <v>26950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R23+IFERROR(VLOOKUP($E:$E,'（居民）工资表-10月'!$E:$AC,25,0),0)</f>
        <v>0</v>
      </c>
      <c r="AD23" s="93">
        <f t="shared" si="6"/>
        <v>92050</v>
      </c>
      <c r="AE23" s="94">
        <f>ROUND(MAX((AD23)*{0.03;0.1;0.2;0.25;0.3;0.35;0.45}-{0;2520;16920;31920;52920;85920;181920},0),2)</f>
        <v>6685</v>
      </c>
      <c r="AF23" s="95">
        <f>IFERROR(VLOOKUP(E:E,'（居民）工资表-10月'!E:AF,28,0)+VLOOKUP(E:E,'（居民）工资表-10月'!E:AG,29,0),0)</f>
        <v>5370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1750000</v>
      </c>
      <c r="T24" s="74">
        <f t="shared" si="12"/>
        <v>700000</v>
      </c>
      <c r="U24" s="74">
        <f t="shared" si="12"/>
        <v>306250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743750</v>
      </c>
      <c r="AE24" s="74">
        <f t="shared" si="12"/>
        <v>44437.75</v>
      </c>
      <c r="AF24" s="74">
        <f t="shared" si="12"/>
        <v>34605</v>
      </c>
      <c r="AG24" s="74">
        <f t="shared" si="12"/>
        <v>9832.75</v>
      </c>
      <c r="AH24" s="74">
        <f t="shared" si="12"/>
        <v>196417.25</v>
      </c>
      <c r="AI24" s="105">
        <f t="shared" si="12"/>
        <v>0</v>
      </c>
      <c r="AJ24" s="74">
        <f t="shared" si="12"/>
        <v>196417.25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196417.25</v>
      </c>
      <c r="C29" s="48">
        <f>AG24</f>
        <v>9832.75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:AF23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108</v>
      </c>
      <c r="C4" s="37"/>
      <c r="D4" s="37" t="s">
        <v>52</v>
      </c>
      <c r="E4" s="37" t="s">
        <v>110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L4+IFERROR(VLOOKUP($E:$E,'（居民）工资表-11月'!$E:$S,15,0),0)</f>
        <v>24000</v>
      </c>
      <c r="T4" s="91">
        <f>5000+IFERROR(VLOOKUP($E:$E,'（居民）工资表-11月'!$E:$T,16,0),0)</f>
        <v>40000</v>
      </c>
      <c r="U4" s="91">
        <f>Q4+IFERROR(VLOOKUP($E:$E,'（居民）工资表-11月'!$E:$U,17,0),0)</f>
        <v>4200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R4+IFERROR(VLOOKUP($E:$E,'（居民）工资表-11月'!$E:$AC,25,0),0)</f>
        <v>0</v>
      </c>
      <c r="AD4" s="93">
        <f>ROUND(S4-T4-U4-AB4-AC4,2)</f>
        <v>-20200</v>
      </c>
      <c r="AE4" s="94">
        <f>ROUND(MAX((AD4)*{0.03;0.1;0.2;0.25;0.3;0.35;0.45}-{0;2520;16920;31920;52920;85920;181920},0),2)</f>
        <v>0</v>
      </c>
      <c r="AF4" s="95">
        <f>IFERROR(VLOOKUP(E:E,'（居民）工资表-11月'!E:AF,28,0)+VLOOKUP(E:E,'（居民）工资表-11月'!E:AG,29,0),0)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108</v>
      </c>
      <c r="C5" s="37"/>
      <c r="D5" s="37" t="s">
        <v>52</v>
      </c>
      <c r="E5" s="37" t="s">
        <v>111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L5+IFERROR(VLOOKUP($E:$E,'（居民）工资表-11月'!$E:$S,15,0),0)</f>
        <v>32000</v>
      </c>
      <c r="T5" s="91">
        <f>5000+IFERROR(VLOOKUP($E:$E,'（居民）工资表-11月'!$E:$T,16,0),0)</f>
        <v>40000</v>
      </c>
      <c r="U5" s="91">
        <f>Q5+IFERROR(VLOOKUP($E:$E,'（居民）工资表-11月'!$E:$U,17,0),0)</f>
        <v>5600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R5+IFERROR(VLOOKUP($E:$E,'（居民）工资表-11月'!$E:$AC,25,0),0)</f>
        <v>0</v>
      </c>
      <c r="AD5" s="93">
        <f t="shared" ref="AD5:AD23" si="6">ROUND(S5-T5-U5-AB5-AC5,2)</f>
        <v>-13600</v>
      </c>
      <c r="AE5" s="94">
        <f>ROUND(MAX((AD5)*{0.03;0.1;0.2;0.25;0.3;0.35;0.45}-{0;2520;16920;31920;52920;85920;181920},0),2)</f>
        <v>0</v>
      </c>
      <c r="AF5" s="95">
        <f>IFERROR(VLOOKUP(E:E,'（居民）工资表-11月'!E:AF,28,0)+VLOOKUP(E:E,'（居民）工资表-11月'!E:AG,29,0),0)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108</v>
      </c>
      <c r="C6" s="37"/>
      <c r="D6" s="37" t="s">
        <v>52</v>
      </c>
      <c r="E6" s="37" t="s">
        <v>112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L6+IFERROR(VLOOKUP($E:$E,'（居民）工资表-11月'!$E:$S,15,0),0)</f>
        <v>40000</v>
      </c>
      <c r="T6" s="91">
        <f>5000+IFERROR(VLOOKUP($E:$E,'（居民）工资表-11月'!$E:$T,16,0),0)</f>
        <v>40000</v>
      </c>
      <c r="U6" s="91">
        <f>Q6+IFERROR(VLOOKUP($E:$E,'（居民）工资表-11月'!$E:$U,17,0),0)</f>
        <v>7000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R6+IFERROR(VLOOKUP($E:$E,'（居民）工资表-11月'!$E:$AC,25,0),0)</f>
        <v>0</v>
      </c>
      <c r="AD6" s="93">
        <f t="shared" si="6"/>
        <v>-7000</v>
      </c>
      <c r="AE6" s="94">
        <f>ROUND(MAX((AD6)*{0.03;0.1;0.2;0.25;0.3;0.35;0.45}-{0;2520;16920;31920;52920;85920;181920},0),2)</f>
        <v>0</v>
      </c>
      <c r="AF6" s="95">
        <f>IFERROR(VLOOKUP(E:E,'（居民）工资表-11月'!E:AF,28,0)+VLOOKUP(E:E,'（居民）工资表-11月'!E:AG,29,0),0)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108</v>
      </c>
      <c r="C7" s="37"/>
      <c r="D7" s="37" t="s">
        <v>52</v>
      </c>
      <c r="E7" s="37" t="s">
        <v>113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L7+IFERROR(VLOOKUP($E:$E,'（居民）工资表-11月'!$E:$S,15,0),0)</f>
        <v>48000</v>
      </c>
      <c r="T7" s="91">
        <f>5000+IFERROR(VLOOKUP($E:$E,'（居民）工资表-11月'!$E:$T,16,0),0)</f>
        <v>40000</v>
      </c>
      <c r="U7" s="91">
        <f>Q7+IFERROR(VLOOKUP($E:$E,'（居民）工资表-11月'!$E:$U,17,0),0)</f>
        <v>8400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R7+IFERROR(VLOOKUP($E:$E,'（居民）工资表-11月'!$E:$AC,25,0),0)</f>
        <v>0</v>
      </c>
      <c r="AD7" s="93">
        <f t="shared" si="6"/>
        <v>-400</v>
      </c>
      <c r="AE7" s="94">
        <f>ROUND(MAX((AD7)*{0.03;0.1;0.2;0.25;0.3;0.35;0.45}-{0;2520;16920;31920;52920;85920;181920},0),2)</f>
        <v>0</v>
      </c>
      <c r="AF7" s="95">
        <f>IFERROR(VLOOKUP(E:E,'（居民）工资表-11月'!E:AF,28,0)+VLOOKUP(E:E,'（居民）工资表-11月'!E:AG,29,0),0)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108</v>
      </c>
      <c r="C8" s="37"/>
      <c r="D8" s="37" t="s">
        <v>52</v>
      </c>
      <c r="E8" s="37" t="s">
        <v>114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L8+IFERROR(VLOOKUP($E:$E,'（居民）工资表-11月'!$E:$S,15,0),0)</f>
        <v>56000</v>
      </c>
      <c r="T8" s="91">
        <f>5000+IFERROR(VLOOKUP($E:$E,'（居民）工资表-11月'!$E:$T,16,0),0)</f>
        <v>40000</v>
      </c>
      <c r="U8" s="91">
        <f>Q8+IFERROR(VLOOKUP($E:$E,'（居民）工资表-11月'!$E:$U,17,0),0)</f>
        <v>9800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R8+IFERROR(VLOOKUP($E:$E,'（居民）工资表-11月'!$E:$AC,25,0),0)</f>
        <v>0</v>
      </c>
      <c r="AD8" s="93">
        <f t="shared" si="6"/>
        <v>6200</v>
      </c>
      <c r="AE8" s="94">
        <f>ROUND(MAX((AD8)*{0.03;0.1;0.2;0.25;0.3;0.35;0.45}-{0;2520;16920;31920;52920;85920;181920},0),2)</f>
        <v>186</v>
      </c>
      <c r="AF8" s="95">
        <f>IFERROR(VLOOKUP(E:E,'（居民）工资表-11月'!E:AF,28,0)+VLOOKUP(E:E,'（居民）工资表-11月'!E:AG,29,0),0)</f>
        <v>162.75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108</v>
      </c>
      <c r="C9" s="37"/>
      <c r="D9" s="37" t="s">
        <v>52</v>
      </c>
      <c r="E9" s="37" t="s">
        <v>115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L9+IFERROR(VLOOKUP($E:$E,'（居民）工资表-11月'!$E:$S,15,0),0)</f>
        <v>64000</v>
      </c>
      <c r="T9" s="91">
        <f>5000+IFERROR(VLOOKUP($E:$E,'（居民）工资表-11月'!$E:$T,16,0),0)</f>
        <v>40000</v>
      </c>
      <c r="U9" s="91">
        <f>Q9+IFERROR(VLOOKUP($E:$E,'（居民）工资表-11月'!$E:$U,17,0),0)</f>
        <v>11200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R9+IFERROR(VLOOKUP($E:$E,'（居民）工资表-11月'!$E:$AC,25,0),0)</f>
        <v>0</v>
      </c>
      <c r="AD9" s="93">
        <f t="shared" si="6"/>
        <v>12800</v>
      </c>
      <c r="AE9" s="94">
        <f>ROUND(MAX((AD9)*{0.03;0.1;0.2;0.25;0.3;0.35;0.45}-{0;2520;16920;31920;52920;85920;181920},0),2)</f>
        <v>384</v>
      </c>
      <c r="AF9" s="95">
        <f>IFERROR(VLOOKUP(E:E,'（居民）工资表-11月'!E:AF,28,0)+VLOOKUP(E:E,'（居民）工资表-11月'!E:AG,29,0),0)</f>
        <v>336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108</v>
      </c>
      <c r="C10" s="37"/>
      <c r="D10" s="37" t="s">
        <v>52</v>
      </c>
      <c r="E10" s="37" t="s">
        <v>116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L10+IFERROR(VLOOKUP($E:$E,'（居民）工资表-11月'!$E:$S,15,0),0)</f>
        <v>72000</v>
      </c>
      <c r="T10" s="91">
        <f>5000+IFERROR(VLOOKUP($E:$E,'（居民）工资表-11月'!$E:$T,16,0),0)</f>
        <v>40000</v>
      </c>
      <c r="U10" s="91">
        <f>Q10+IFERROR(VLOOKUP($E:$E,'（居民）工资表-11月'!$E:$U,17,0),0)</f>
        <v>12600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R10+IFERROR(VLOOKUP($E:$E,'（居民）工资表-11月'!$E:$AC,25,0),0)</f>
        <v>0</v>
      </c>
      <c r="AD10" s="93">
        <f t="shared" si="6"/>
        <v>19400</v>
      </c>
      <c r="AE10" s="94">
        <f>ROUND(MAX((AD10)*{0.03;0.1;0.2;0.25;0.3;0.35;0.45}-{0;2520;16920;31920;52920;85920;181920},0),2)</f>
        <v>582</v>
      </c>
      <c r="AF10" s="95">
        <f>IFERROR(VLOOKUP(E:E,'（居民）工资表-11月'!E:AF,28,0)+VLOOKUP(E:E,'（居民）工资表-11月'!E:AG,29,0),0)</f>
        <v>509.25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108</v>
      </c>
      <c r="C11" s="37"/>
      <c r="D11" s="37" t="s">
        <v>52</v>
      </c>
      <c r="E11" s="37" t="s">
        <v>117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L11+IFERROR(VLOOKUP($E:$E,'（居民）工资表-11月'!$E:$S,15,0),0)</f>
        <v>80000</v>
      </c>
      <c r="T11" s="91">
        <f>5000+IFERROR(VLOOKUP($E:$E,'（居民）工资表-11月'!$E:$T,16,0),0)</f>
        <v>40000</v>
      </c>
      <c r="U11" s="91">
        <f>Q11+IFERROR(VLOOKUP($E:$E,'（居民）工资表-11月'!$E:$U,17,0),0)</f>
        <v>14000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R11+IFERROR(VLOOKUP($E:$E,'（居民）工资表-11月'!$E:$AC,25,0),0)</f>
        <v>0</v>
      </c>
      <c r="AD11" s="93">
        <f t="shared" si="6"/>
        <v>26000</v>
      </c>
      <c r="AE11" s="94">
        <f>ROUND(MAX((AD11)*{0.03;0.1;0.2;0.25;0.3;0.35;0.45}-{0;2520;16920;31920;52920;85920;181920},0),2)</f>
        <v>780</v>
      </c>
      <c r="AF11" s="95">
        <f>IFERROR(VLOOKUP(E:E,'（居民）工资表-11月'!E:AF,28,0)+VLOOKUP(E:E,'（居民）工资表-11月'!E:AG,29,0),0)</f>
        <v>682.5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108</v>
      </c>
      <c r="C12" s="37"/>
      <c r="D12" s="37" t="s">
        <v>52</v>
      </c>
      <c r="E12" s="37" t="s">
        <v>118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L12+IFERROR(VLOOKUP($E:$E,'（居民）工资表-11月'!$E:$S,15,0),0)</f>
        <v>88000</v>
      </c>
      <c r="T12" s="91">
        <f>5000+IFERROR(VLOOKUP($E:$E,'（居民）工资表-11月'!$E:$T,16,0),0)</f>
        <v>40000</v>
      </c>
      <c r="U12" s="91">
        <f>Q12+IFERROR(VLOOKUP($E:$E,'（居民）工资表-11月'!$E:$U,17,0),0)</f>
        <v>15400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R12+IFERROR(VLOOKUP($E:$E,'（居民）工资表-11月'!$E:$AC,25,0),0)</f>
        <v>0</v>
      </c>
      <c r="AD12" s="93">
        <f t="shared" si="6"/>
        <v>32600</v>
      </c>
      <c r="AE12" s="94">
        <f>ROUND(MAX((AD12)*{0.03;0.1;0.2;0.25;0.3;0.35;0.45}-{0;2520;16920;31920;52920;85920;181920},0),2)</f>
        <v>978</v>
      </c>
      <c r="AF12" s="95">
        <f>IFERROR(VLOOKUP(E:E,'（居民）工资表-11月'!E:AF,28,0)+VLOOKUP(E:E,'（居民）工资表-11月'!E:AG,29,0),0)</f>
        <v>855.75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108</v>
      </c>
      <c r="C13" s="37"/>
      <c r="D13" s="37" t="s">
        <v>52</v>
      </c>
      <c r="E13" s="37" t="s">
        <v>119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L13+IFERROR(VLOOKUP($E:$E,'（居民）工资表-11月'!$E:$S,15,0),0)</f>
        <v>96000</v>
      </c>
      <c r="T13" s="91">
        <f>5000+IFERROR(VLOOKUP($E:$E,'（居民）工资表-11月'!$E:$T,16,0),0)</f>
        <v>40000</v>
      </c>
      <c r="U13" s="91">
        <f>Q13+IFERROR(VLOOKUP($E:$E,'（居民）工资表-11月'!$E:$U,17,0),0)</f>
        <v>16800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R13+IFERROR(VLOOKUP($E:$E,'（居民）工资表-11月'!$E:$AC,25,0),0)</f>
        <v>0</v>
      </c>
      <c r="AD13" s="93">
        <f t="shared" si="6"/>
        <v>39200</v>
      </c>
      <c r="AE13" s="94">
        <f>ROUND(MAX((AD13)*{0.03;0.1;0.2;0.25;0.3;0.35;0.45}-{0;2520;16920;31920;52920;85920;181920},0),2)</f>
        <v>1400</v>
      </c>
      <c r="AF13" s="95">
        <f>IFERROR(VLOOKUP(E:E,'（居民）工资表-11月'!E:AF,28,0)+VLOOKUP(E:E,'（居民）工资表-11月'!E:AG,29,0),0)</f>
        <v>1029</v>
      </c>
      <c r="AG13" s="95">
        <f t="shared" si="7"/>
        <v>371</v>
      </c>
      <c r="AH13" s="102">
        <f t="shared" si="8"/>
        <v>9529</v>
      </c>
      <c r="AI13" s="103"/>
      <c r="AJ13" s="102">
        <f t="shared" si="9"/>
        <v>9529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108</v>
      </c>
      <c r="C14" s="37"/>
      <c r="D14" s="37" t="s">
        <v>52</v>
      </c>
      <c r="E14" s="37" t="s">
        <v>120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L14+IFERROR(VLOOKUP($E:$E,'（居民）工资表-11月'!$E:$S,15,0),0)</f>
        <v>104000</v>
      </c>
      <c r="T14" s="91">
        <f>5000+IFERROR(VLOOKUP($E:$E,'（居民）工资表-11月'!$E:$T,16,0),0)</f>
        <v>40000</v>
      </c>
      <c r="U14" s="91">
        <f>Q14+IFERROR(VLOOKUP($E:$E,'（居民）工资表-11月'!$E:$U,17,0),0)</f>
        <v>18200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R14+IFERROR(VLOOKUP($E:$E,'（居民）工资表-11月'!$E:$AC,25,0),0)</f>
        <v>0</v>
      </c>
      <c r="AD14" s="93">
        <f t="shared" si="6"/>
        <v>45800</v>
      </c>
      <c r="AE14" s="94">
        <f>ROUND(MAX((AD14)*{0.03;0.1;0.2;0.25;0.3;0.35;0.45}-{0;2520;16920;31920;52920;85920;181920},0),2)</f>
        <v>2060</v>
      </c>
      <c r="AF14" s="95">
        <f>IFERROR(VLOOKUP(E:E,'（居民）工资表-11月'!E:AF,28,0)+VLOOKUP(E:E,'（居民）工资表-11月'!E:AG,29,0),0)</f>
        <v>1487.5</v>
      </c>
      <c r="AG14" s="95">
        <f t="shared" si="7"/>
        <v>572.5</v>
      </c>
      <c r="AH14" s="102">
        <f t="shared" si="8"/>
        <v>10152.5</v>
      </c>
      <c r="AI14" s="103"/>
      <c r="AJ14" s="102">
        <f t="shared" si="9"/>
        <v>10152.5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108</v>
      </c>
      <c r="C15" s="37"/>
      <c r="D15" s="37" t="s">
        <v>52</v>
      </c>
      <c r="E15" s="37" t="s">
        <v>121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L15+IFERROR(VLOOKUP($E:$E,'（居民）工资表-11月'!$E:$S,15,0),0)</f>
        <v>112000</v>
      </c>
      <c r="T15" s="91">
        <f>5000+IFERROR(VLOOKUP($E:$E,'（居民）工资表-11月'!$E:$T,16,0),0)</f>
        <v>40000</v>
      </c>
      <c r="U15" s="91">
        <f>Q15+IFERROR(VLOOKUP($E:$E,'（居民）工资表-11月'!$E:$U,17,0),0)</f>
        <v>19600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R15+IFERROR(VLOOKUP($E:$E,'（居民）工资表-11月'!$E:$AC,25,0),0)</f>
        <v>0</v>
      </c>
      <c r="AD15" s="93">
        <f t="shared" si="6"/>
        <v>52400</v>
      </c>
      <c r="AE15" s="94">
        <f>ROUND(MAX((AD15)*{0.03;0.1;0.2;0.25;0.3;0.35;0.45}-{0;2520;16920;31920;52920;85920;181920},0),2)</f>
        <v>2720</v>
      </c>
      <c r="AF15" s="95">
        <f>IFERROR(VLOOKUP(E:E,'（居民）工资表-11月'!E:AF,28,0)+VLOOKUP(E:E,'（居民）工资表-11月'!E:AG,29,0),0)</f>
        <v>2065</v>
      </c>
      <c r="AG15" s="95">
        <f t="shared" si="7"/>
        <v>655</v>
      </c>
      <c r="AH15" s="102">
        <f t="shared" si="8"/>
        <v>10895</v>
      </c>
      <c r="AI15" s="103"/>
      <c r="AJ15" s="102">
        <f t="shared" si="9"/>
        <v>10895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108</v>
      </c>
      <c r="C16" s="37"/>
      <c r="D16" s="37" t="s">
        <v>52</v>
      </c>
      <c r="E16" s="37" t="s">
        <v>122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L16+IFERROR(VLOOKUP($E:$E,'（居民）工资表-11月'!$E:$S,15,0),0)</f>
        <v>120000</v>
      </c>
      <c r="T16" s="91">
        <f>5000+IFERROR(VLOOKUP($E:$E,'（居民）工资表-11月'!$E:$T,16,0),0)</f>
        <v>40000</v>
      </c>
      <c r="U16" s="91">
        <f>Q16+IFERROR(VLOOKUP($E:$E,'（居民）工资表-11月'!$E:$U,17,0),0)</f>
        <v>21000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R16+IFERROR(VLOOKUP($E:$E,'（居民）工资表-11月'!$E:$AC,25,0),0)</f>
        <v>0</v>
      </c>
      <c r="AD16" s="93">
        <f t="shared" si="6"/>
        <v>59000</v>
      </c>
      <c r="AE16" s="94">
        <f>ROUND(MAX((AD16)*{0.03;0.1;0.2;0.25;0.3;0.35;0.45}-{0;2520;16920;31920;52920;85920;181920},0),2)</f>
        <v>3380</v>
      </c>
      <c r="AF16" s="95">
        <f>IFERROR(VLOOKUP(E:E,'（居民）工资表-11月'!E:AF,28,0)+VLOOKUP(E:E,'（居民）工资表-11月'!E:AG,29,0),0)</f>
        <v>2642.5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108</v>
      </c>
      <c r="C17" s="37"/>
      <c r="D17" s="37" t="s">
        <v>52</v>
      </c>
      <c r="E17" s="37" t="s">
        <v>123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L17+IFERROR(VLOOKUP($E:$E,'（居民）工资表-11月'!$E:$S,15,0),0)</f>
        <v>128000</v>
      </c>
      <c r="T17" s="91">
        <f>5000+IFERROR(VLOOKUP($E:$E,'（居民）工资表-11月'!$E:$T,16,0),0)</f>
        <v>40000</v>
      </c>
      <c r="U17" s="91">
        <f>Q17+IFERROR(VLOOKUP($E:$E,'（居民）工资表-11月'!$E:$U,17,0),0)</f>
        <v>22400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R17+IFERROR(VLOOKUP($E:$E,'（居民）工资表-11月'!$E:$AC,25,0),0)</f>
        <v>0</v>
      </c>
      <c r="AD17" s="93">
        <f t="shared" si="6"/>
        <v>65600</v>
      </c>
      <c r="AE17" s="94">
        <f>ROUND(MAX((AD17)*{0.03;0.1;0.2;0.25;0.3;0.35;0.45}-{0;2520;16920;31920;52920;85920;181920},0),2)</f>
        <v>4040</v>
      </c>
      <c r="AF17" s="95">
        <f>IFERROR(VLOOKUP(E:E,'（居民）工资表-11月'!E:AF,28,0)+VLOOKUP(E:E,'（居民）工资表-11月'!E:AG,29,0),0)</f>
        <v>3220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108</v>
      </c>
      <c r="C18" s="37"/>
      <c r="D18" s="37" t="s">
        <v>52</v>
      </c>
      <c r="E18" s="37" t="s">
        <v>124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L18+IFERROR(VLOOKUP($E:$E,'（居民）工资表-11月'!$E:$S,15,0),0)</f>
        <v>136000</v>
      </c>
      <c r="T18" s="91">
        <f>5000+IFERROR(VLOOKUP($E:$E,'（居民）工资表-11月'!$E:$T,16,0),0)</f>
        <v>40000</v>
      </c>
      <c r="U18" s="91">
        <f>Q18+IFERROR(VLOOKUP($E:$E,'（居民）工资表-11月'!$E:$U,17,0),0)</f>
        <v>23800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R18+IFERROR(VLOOKUP($E:$E,'（居民）工资表-11月'!$E:$AC,25,0),0)</f>
        <v>0</v>
      </c>
      <c r="AD18" s="93">
        <f t="shared" si="6"/>
        <v>72200</v>
      </c>
      <c r="AE18" s="94">
        <f>ROUND(MAX((AD18)*{0.03;0.1;0.2;0.25;0.3;0.35;0.45}-{0;2520;16920;31920;52920;85920;181920},0),2)</f>
        <v>4700</v>
      </c>
      <c r="AF18" s="95">
        <f>IFERROR(VLOOKUP(E:E,'（居民）工资表-11月'!E:AF,28,0)+VLOOKUP(E:E,'（居民）工资表-11月'!E:AG,29,0),0)</f>
        <v>3797.5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108</v>
      </c>
      <c r="C19" s="37"/>
      <c r="D19" s="37" t="s">
        <v>52</v>
      </c>
      <c r="E19" s="37" t="s">
        <v>125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L19+IFERROR(VLOOKUP($E:$E,'（居民）工资表-11月'!$E:$S,15,0),0)</f>
        <v>144000</v>
      </c>
      <c r="T19" s="91">
        <f>5000+IFERROR(VLOOKUP($E:$E,'（居民）工资表-11月'!$E:$T,16,0),0)</f>
        <v>40000</v>
      </c>
      <c r="U19" s="91">
        <f>Q19+IFERROR(VLOOKUP($E:$E,'（居民）工资表-11月'!$E:$U,17,0),0)</f>
        <v>25200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R19+IFERROR(VLOOKUP($E:$E,'（居民）工资表-11月'!$E:$AC,25,0),0)</f>
        <v>0</v>
      </c>
      <c r="AD19" s="93">
        <f t="shared" si="6"/>
        <v>78800</v>
      </c>
      <c r="AE19" s="94">
        <f>ROUND(MAX((AD19)*{0.03;0.1;0.2;0.25;0.3;0.35;0.45}-{0;2520;16920;31920;52920;85920;181920},0),2)</f>
        <v>5360</v>
      </c>
      <c r="AF19" s="95">
        <f>IFERROR(VLOOKUP(E:E,'（居民）工资表-11月'!E:AF,28,0)+VLOOKUP(E:E,'（居民）工资表-11月'!E:AG,29,0),0)</f>
        <v>4375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108</v>
      </c>
      <c r="C20" s="37"/>
      <c r="D20" s="37" t="s">
        <v>52</v>
      </c>
      <c r="E20" s="37" t="s">
        <v>126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L20+IFERROR(VLOOKUP($E:$E,'（居民）工资表-11月'!$E:$S,15,0),0)</f>
        <v>152000</v>
      </c>
      <c r="T20" s="91">
        <f>5000+IFERROR(VLOOKUP($E:$E,'（居民）工资表-11月'!$E:$T,16,0),0)</f>
        <v>40000</v>
      </c>
      <c r="U20" s="91">
        <f>Q20+IFERROR(VLOOKUP($E:$E,'（居民）工资表-11月'!$E:$U,17,0),0)</f>
        <v>26600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R20+IFERROR(VLOOKUP($E:$E,'（居民）工资表-11月'!$E:$AC,25,0),0)</f>
        <v>0</v>
      </c>
      <c r="AD20" s="93">
        <f t="shared" si="6"/>
        <v>85400</v>
      </c>
      <c r="AE20" s="94">
        <f>ROUND(MAX((AD20)*{0.03;0.1;0.2;0.25;0.3;0.35;0.45}-{0;2520;16920;31920;52920;85920;181920},0),2)</f>
        <v>6020</v>
      </c>
      <c r="AF20" s="95">
        <f>IFERROR(VLOOKUP(E:E,'（居民）工资表-11月'!E:AF,28,0)+VLOOKUP(E:E,'（居民）工资表-11月'!E:AG,29,0),0)</f>
        <v>4952.5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108</v>
      </c>
      <c r="C21" s="37"/>
      <c r="D21" s="37" t="s">
        <v>52</v>
      </c>
      <c r="E21" s="37" t="s">
        <v>127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L21+IFERROR(VLOOKUP($E:$E,'（居民）工资表-11月'!$E:$S,15,0),0)</f>
        <v>160000</v>
      </c>
      <c r="T21" s="91">
        <f>5000+IFERROR(VLOOKUP($E:$E,'（居民）工资表-11月'!$E:$T,16,0),0)</f>
        <v>40000</v>
      </c>
      <c r="U21" s="91">
        <f>Q21+IFERROR(VLOOKUP($E:$E,'（居民）工资表-11月'!$E:$U,17,0),0)</f>
        <v>28000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R21+IFERROR(VLOOKUP($E:$E,'（居民）工资表-11月'!$E:$AC,25,0),0)</f>
        <v>0</v>
      </c>
      <c r="AD21" s="93">
        <f t="shared" si="6"/>
        <v>92000</v>
      </c>
      <c r="AE21" s="94">
        <f>ROUND(MAX((AD21)*{0.03;0.1;0.2;0.25;0.3;0.35;0.45}-{0;2520;16920;31920;52920;85920;181920},0),2)</f>
        <v>6680</v>
      </c>
      <c r="AF21" s="95">
        <f>IFERROR(VLOOKUP(E:E,'（居民）工资表-11月'!E:AF,28,0)+VLOOKUP(E:E,'（居民）工资表-11月'!E:AG,29,0),0)</f>
        <v>5530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108</v>
      </c>
      <c r="C22" s="37"/>
      <c r="D22" s="37" t="s">
        <v>52</v>
      </c>
      <c r="E22" s="37" t="s">
        <v>128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L22+IFERROR(VLOOKUP($E:$E,'（居民）工资表-11月'!$E:$S,15,0),0)</f>
        <v>168000</v>
      </c>
      <c r="T22" s="91">
        <f>5000+IFERROR(VLOOKUP($E:$E,'（居民）工资表-11月'!$E:$T,16,0),0)</f>
        <v>40000</v>
      </c>
      <c r="U22" s="91">
        <f>Q22+IFERROR(VLOOKUP($E:$E,'（居民）工资表-11月'!$E:$U,17,0),0)</f>
        <v>29400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R22+IFERROR(VLOOKUP($E:$E,'（居民）工资表-11月'!$E:$AC,25,0),0)</f>
        <v>0</v>
      </c>
      <c r="AD22" s="93">
        <f t="shared" si="6"/>
        <v>98600</v>
      </c>
      <c r="AE22" s="94">
        <f>ROUND(MAX((AD22)*{0.03;0.1;0.2;0.25;0.3;0.35;0.45}-{0;2520;16920;31920;52920;85920;181920},0),2)</f>
        <v>7340</v>
      </c>
      <c r="AF22" s="95">
        <f>IFERROR(VLOOKUP(E:E,'（居民）工资表-11月'!E:AF,28,0)+VLOOKUP(E:E,'（居民）工资表-11月'!E:AG,29,0),0)</f>
        <v>6107.5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108</v>
      </c>
      <c r="C23" s="37"/>
      <c r="D23" s="37" t="s">
        <v>52</v>
      </c>
      <c r="E23" s="37" t="s">
        <v>129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L23+IFERROR(VLOOKUP($E:$E,'（居民）工资表-11月'!$E:$S,15,0),0)</f>
        <v>176000</v>
      </c>
      <c r="T23" s="91">
        <f>5000+IFERROR(VLOOKUP($E:$E,'（居民）工资表-11月'!$E:$T,16,0),0)</f>
        <v>40000</v>
      </c>
      <c r="U23" s="91">
        <f>Q23+IFERROR(VLOOKUP($E:$E,'（居民）工资表-11月'!$E:$U,17,0),0)</f>
        <v>30800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R23+IFERROR(VLOOKUP($E:$E,'（居民）工资表-11月'!$E:$AC,25,0),0)</f>
        <v>0</v>
      </c>
      <c r="AD23" s="93">
        <f t="shared" si="6"/>
        <v>105200</v>
      </c>
      <c r="AE23" s="94">
        <f>ROUND(MAX((AD23)*{0.03;0.1;0.2;0.25;0.3;0.35;0.45}-{0;2520;16920;31920;52920;85920;181920},0),2)</f>
        <v>8000</v>
      </c>
      <c r="AF23" s="95">
        <f>IFERROR(VLOOKUP(E:E,'（居民）工资表-11月'!E:AF,28,0)+VLOOKUP(E:E,'（居民）工资表-11月'!E:AG,29,0),0)</f>
        <v>6685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2000000</v>
      </c>
      <c r="T24" s="74">
        <f t="shared" si="12"/>
        <v>800000</v>
      </c>
      <c r="U24" s="74">
        <f t="shared" si="12"/>
        <v>350000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850000</v>
      </c>
      <c r="AE24" s="74">
        <f t="shared" si="12"/>
        <v>54610</v>
      </c>
      <c r="AF24" s="74">
        <f t="shared" si="12"/>
        <v>44437.75</v>
      </c>
      <c r="AG24" s="74">
        <f t="shared" si="12"/>
        <v>10172.25</v>
      </c>
      <c r="AH24" s="74">
        <f t="shared" si="12"/>
        <v>196077.75</v>
      </c>
      <c r="AI24" s="105">
        <f t="shared" si="12"/>
        <v>0</v>
      </c>
      <c r="AJ24" s="74">
        <f t="shared" si="12"/>
        <v>196077.75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196077.75</v>
      </c>
      <c r="C29" s="48">
        <f>AG24</f>
        <v>10172.25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130</v>
      </c>
      <c r="C1" s="1"/>
      <c r="D1" s="1"/>
      <c r="E1" s="1"/>
    </row>
    <row r="2" ht="21" spans="2:2">
      <c r="B2" s="2"/>
    </row>
    <row r="3" ht="27.75" customHeight="1" spans="2:5">
      <c r="B3" s="3" t="s">
        <v>131</v>
      </c>
      <c r="C3" s="4" t="s">
        <v>132</v>
      </c>
      <c r="D3" s="4" t="s">
        <v>133</v>
      </c>
      <c r="E3" s="4" t="s">
        <v>134</v>
      </c>
    </row>
    <row r="4" ht="29.25" customHeight="1" spans="2:5">
      <c r="B4" s="5">
        <v>1</v>
      </c>
      <c r="C4" s="6" t="s">
        <v>135</v>
      </c>
      <c r="D4" s="7">
        <v>0.03</v>
      </c>
      <c r="E4" s="8">
        <v>0</v>
      </c>
    </row>
    <row r="5" ht="29.25" customHeight="1" spans="2:5">
      <c r="B5" s="5">
        <v>2</v>
      </c>
      <c r="C5" s="6" t="s">
        <v>136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137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138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139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140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141</v>
      </c>
      <c r="D10" s="7">
        <v>0.45</v>
      </c>
      <c r="E10" s="8">
        <v>181920</v>
      </c>
    </row>
    <row r="13" ht="57" customHeight="1" spans="2:5">
      <c r="B13" s="1" t="s">
        <v>142</v>
      </c>
      <c r="C13" s="1"/>
      <c r="D13" s="1"/>
      <c r="E13" s="1"/>
    </row>
    <row r="14" ht="21" spans="2:2">
      <c r="B14" s="2"/>
    </row>
    <row r="15" ht="27.75" customHeight="1" spans="2:5">
      <c r="B15" s="3" t="s">
        <v>131</v>
      </c>
      <c r="C15" s="4" t="s">
        <v>143</v>
      </c>
      <c r="D15" s="4" t="s">
        <v>133</v>
      </c>
      <c r="E15" s="4" t="s">
        <v>134</v>
      </c>
    </row>
    <row r="16" ht="29.25" customHeight="1" spans="2:5">
      <c r="B16" s="5">
        <v>1</v>
      </c>
      <c r="C16" s="6" t="s">
        <v>144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145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146</v>
      </c>
      <c r="D18" s="7">
        <v>0.4</v>
      </c>
      <c r="E18" s="8">
        <v>7000</v>
      </c>
    </row>
    <row r="21" ht="47.25" customHeight="1" spans="2:5">
      <c r="B21" s="1" t="s">
        <v>147</v>
      </c>
      <c r="C21" s="1"/>
      <c r="D21" s="1"/>
      <c r="E21" s="1"/>
    </row>
    <row r="22" ht="21" spans="2:2">
      <c r="B22" s="2"/>
    </row>
    <row r="23" ht="27.75" customHeight="1" spans="2:5">
      <c r="B23" s="3" t="s">
        <v>131</v>
      </c>
      <c r="C23" s="4" t="s">
        <v>148</v>
      </c>
      <c r="D23" s="4" t="s">
        <v>133</v>
      </c>
      <c r="E23" s="4" t="s">
        <v>134</v>
      </c>
    </row>
    <row r="24" ht="29.25" customHeight="1" spans="2:5">
      <c r="B24" s="5">
        <v>1</v>
      </c>
      <c r="C24" s="6" t="s">
        <v>149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150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151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152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153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154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155</v>
      </c>
      <c r="D30" s="7">
        <v>0.45</v>
      </c>
      <c r="E30" s="8">
        <v>15160</v>
      </c>
    </row>
    <row r="35" ht="57" customHeight="1" spans="2:5">
      <c r="B35" s="9" t="s">
        <v>156</v>
      </c>
      <c r="C35" s="9"/>
      <c r="D35" s="9"/>
      <c r="E35" s="9"/>
    </row>
    <row r="36" ht="14.25"/>
    <row r="37" ht="21.75" customHeight="1" spans="2:5">
      <c r="B37" s="3" t="s">
        <v>131</v>
      </c>
      <c r="C37" s="4" t="s">
        <v>157</v>
      </c>
      <c r="D37" s="4" t="s">
        <v>158</v>
      </c>
      <c r="E37" s="4" t="s">
        <v>134</v>
      </c>
    </row>
    <row r="38" ht="21.75" customHeight="1" spans="2:5">
      <c r="B38" s="5">
        <v>1</v>
      </c>
      <c r="C38" s="6" t="s">
        <v>149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150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151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152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153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154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155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H19" sqref="H19"/>
    </sheetView>
  </sheetViews>
  <sheetFormatPr defaultColWidth="9" defaultRowHeight="13.5"/>
  <cols>
    <col min="1" max="2" width="9" style="121"/>
    <col min="3" max="3" width="10.75" style="121" customWidth="1"/>
    <col min="4" max="4" width="16.75" style="121" customWidth="1"/>
    <col min="5" max="5" width="11.75" style="121" customWidth="1"/>
    <col min="6" max="6" width="9" style="121"/>
    <col min="7" max="7" width="10.75" style="121" customWidth="1"/>
    <col min="8" max="12" width="9" style="121"/>
    <col min="13" max="13" width="9.5" style="121" customWidth="1"/>
    <col min="14" max="14" width="16.5" style="121" customWidth="1"/>
    <col min="15" max="16384" width="9" style="121"/>
  </cols>
  <sheetData>
    <row r="1" s="121" customFormat="1" ht="25.5" spans="1:14">
      <c r="A1" s="122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="121" customFormat="1" ht="14.25" spans="1:14">
      <c r="A2" s="123"/>
      <c r="B2" s="124"/>
      <c r="C2" s="124"/>
      <c r="D2" s="125"/>
      <c r="E2" s="125"/>
      <c r="F2" s="125"/>
      <c r="G2" s="123"/>
      <c r="H2" s="123"/>
      <c r="I2" s="123"/>
      <c r="J2" s="125"/>
      <c r="K2" s="125"/>
      <c r="L2" s="125"/>
      <c r="M2" s="125"/>
      <c r="N2" s="125"/>
    </row>
    <row r="3" s="121" customFormat="1" spans="1:14">
      <c r="A3" s="126"/>
      <c r="B3" s="127"/>
      <c r="C3" s="128"/>
      <c r="D3" s="129"/>
      <c r="E3" s="130"/>
      <c r="F3" s="130"/>
      <c r="G3" s="131"/>
      <c r="H3" s="132"/>
      <c r="I3" s="127"/>
      <c r="J3" s="128"/>
      <c r="K3" s="129"/>
      <c r="L3" s="200"/>
      <c r="M3" s="125"/>
      <c r="N3" s="125"/>
    </row>
    <row r="4" s="121" customFormat="1" spans="1:14">
      <c r="A4" s="126"/>
      <c r="B4" s="133" t="s">
        <v>73</v>
      </c>
      <c r="C4" s="133"/>
      <c r="D4" s="133"/>
      <c r="E4" s="133"/>
      <c r="F4" s="134"/>
      <c r="G4" s="133"/>
      <c r="H4" s="132"/>
      <c r="K4" s="125"/>
      <c r="L4" s="201"/>
      <c r="M4" s="202"/>
      <c r="N4" s="125"/>
    </row>
    <row r="5" s="121" customFormat="1" spans="1:14">
      <c r="A5" s="135"/>
      <c r="B5" s="136" t="s">
        <v>74</v>
      </c>
      <c r="C5" s="129"/>
      <c r="D5" s="129"/>
      <c r="E5" s="129"/>
      <c r="F5" s="129"/>
      <c r="G5" s="129"/>
      <c r="H5" s="137"/>
      <c r="I5" s="132"/>
      <c r="J5" s="127"/>
      <c r="K5" s="128"/>
      <c r="L5" s="200"/>
      <c r="M5" s="125"/>
      <c r="N5" s="125"/>
    </row>
    <row r="6" s="121" customFormat="1" ht="9.75" customHeight="1" spans="1:14">
      <c r="A6" s="138"/>
      <c r="B6" s="138"/>
      <c r="C6" s="138"/>
      <c r="D6" s="138"/>
      <c r="E6" s="138"/>
      <c r="F6" s="138"/>
      <c r="G6" s="138"/>
      <c r="H6" s="138"/>
      <c r="I6" s="203"/>
      <c r="J6" s="203"/>
      <c r="K6" s="204"/>
      <c r="L6" s="204"/>
      <c r="M6" s="204"/>
      <c r="N6" s="204"/>
    </row>
    <row r="7" s="121" customFormat="1" ht="15" spans="1:14">
      <c r="A7" s="138"/>
      <c r="B7" s="139" t="s">
        <v>75</v>
      </c>
      <c r="C7" s="140"/>
      <c r="D7" s="140"/>
      <c r="E7" s="140"/>
      <c r="F7" s="140"/>
      <c r="G7" s="140"/>
      <c r="H7" s="140"/>
      <c r="I7" s="205" t="s">
        <v>76</v>
      </c>
      <c r="J7" s="205"/>
      <c r="K7" s="206"/>
      <c r="L7" s="124"/>
      <c r="M7" s="124"/>
      <c r="N7" s="207"/>
    </row>
    <row r="8" s="121" customFormat="1" ht="14.25" spans="1:14">
      <c r="A8" s="138"/>
      <c r="B8" s="141" t="s">
        <v>77</v>
      </c>
      <c r="C8" s="142"/>
      <c r="D8" s="142"/>
      <c r="E8" s="143">
        <f>D10</f>
        <v>12544.75</v>
      </c>
      <c r="F8" s="144"/>
      <c r="G8" s="144"/>
      <c r="H8" s="145"/>
      <c r="I8" s="208"/>
      <c r="J8" s="209" t="s">
        <v>78</v>
      </c>
      <c r="K8" s="209"/>
      <c r="L8" s="209"/>
      <c r="M8" s="209"/>
      <c r="N8" s="209"/>
    </row>
    <row r="9" s="121" customFormat="1" ht="14.25" spans="1:14">
      <c r="A9" s="138"/>
      <c r="B9" s="146" t="s">
        <v>79</v>
      </c>
      <c r="C9" s="147"/>
      <c r="D9" s="147"/>
      <c r="E9" s="148">
        <f>G25</f>
        <v>12544.75</v>
      </c>
      <c r="F9" s="149"/>
      <c r="G9" s="149"/>
      <c r="H9" s="150"/>
      <c r="I9" s="209"/>
      <c r="J9" s="210" t="s">
        <v>80</v>
      </c>
      <c r="K9" s="210"/>
      <c r="L9" s="210"/>
      <c r="M9" s="210"/>
      <c r="N9" s="211"/>
    </row>
    <row r="10" s="121" customFormat="1" ht="15" spans="1:14">
      <c r="A10" s="138"/>
      <c r="B10" s="151" t="s">
        <v>81</v>
      </c>
      <c r="C10" s="152"/>
      <c r="D10" s="153">
        <f>G25</f>
        <v>12544.75</v>
      </c>
      <c r="E10" s="154" t="s">
        <v>82</v>
      </c>
      <c r="F10" s="155"/>
      <c r="G10" s="156"/>
      <c r="H10" s="157">
        <v>0</v>
      </c>
      <c r="I10" s="212"/>
      <c r="J10" s="213" t="s">
        <v>83</v>
      </c>
      <c r="K10" s="213"/>
      <c r="L10" s="213"/>
      <c r="M10" s="213"/>
      <c r="N10" s="214"/>
    </row>
    <row r="11" s="121" customFormat="1" ht="14.25" spans="1:14">
      <c r="A11" s="138"/>
      <c r="B11" s="158" t="s">
        <v>84</v>
      </c>
      <c r="C11" s="159"/>
      <c r="D11" s="160"/>
      <c r="E11" s="161" t="s">
        <v>85</v>
      </c>
      <c r="F11" s="162"/>
      <c r="G11" s="163"/>
      <c r="H11" s="164"/>
      <c r="I11" s="215"/>
      <c r="J11" s="216"/>
      <c r="K11" s="215"/>
      <c r="L11" s="215"/>
      <c r="M11" s="215"/>
      <c r="N11" s="217"/>
    </row>
    <row r="12" s="121" customFormat="1" spans="1:14">
      <c r="A12" s="135"/>
      <c r="B12" s="158" t="s">
        <v>86</v>
      </c>
      <c r="C12" s="159"/>
      <c r="D12" s="160">
        <v>0</v>
      </c>
      <c r="E12" s="161" t="s">
        <v>87</v>
      </c>
      <c r="F12" s="162"/>
      <c r="G12" s="163"/>
      <c r="H12" s="164"/>
      <c r="I12" s="218"/>
      <c r="J12" s="219"/>
      <c r="K12" s="220"/>
      <c r="L12" s="220"/>
      <c r="M12" s="220"/>
      <c r="N12" s="220"/>
    </row>
    <row r="13" s="121" customFormat="1" ht="14.25" spans="1:14">
      <c r="A13" s="125"/>
      <c r="B13" s="165" t="s">
        <v>88</v>
      </c>
      <c r="C13" s="166"/>
      <c r="D13" s="167">
        <v>0</v>
      </c>
      <c r="E13" s="168"/>
      <c r="F13" s="169"/>
      <c r="G13" s="170"/>
      <c r="H13" s="171"/>
      <c r="I13" s="138"/>
      <c r="J13" s="221"/>
      <c r="K13" s="222"/>
      <c r="L13" s="222"/>
      <c r="M13" s="222"/>
      <c r="N13" s="222"/>
    </row>
    <row r="14" s="121" customFormat="1" ht="5.25" customHeight="1" spans="1:14">
      <c r="A14" s="172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</row>
    <row r="15" s="121" customFormat="1" spans="1:14">
      <c r="A15" s="125" t="s">
        <v>89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</row>
    <row r="16" s="121" customFormat="1" ht="3" customHeight="1" spans="1:14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</row>
    <row r="17" s="121" customFormat="1" ht="18.75" spans="2:13">
      <c r="B17" s="173" t="s">
        <v>2</v>
      </c>
      <c r="C17" s="174" t="s">
        <v>90</v>
      </c>
      <c r="D17" s="174" t="s">
        <v>91</v>
      </c>
      <c r="E17" s="174"/>
      <c r="F17" s="175" t="s">
        <v>92</v>
      </c>
      <c r="G17" s="176" t="s">
        <v>93</v>
      </c>
      <c r="H17" s="177" t="s">
        <v>94</v>
      </c>
      <c r="J17" s="223" t="s">
        <v>95</v>
      </c>
      <c r="K17" s="223"/>
      <c r="L17" s="223"/>
      <c r="M17" s="223"/>
    </row>
    <row r="18" s="121" customFormat="1" ht="16.5" spans="2:13">
      <c r="B18" s="178">
        <v>1</v>
      </c>
      <c r="C18" s="179" t="s">
        <v>96</v>
      </c>
      <c r="D18" s="180" t="s">
        <v>97</v>
      </c>
      <c r="E18" s="180"/>
      <c r="F18" s="181"/>
      <c r="G18" s="182">
        <f>'（居民）工资表-3月'!E11</f>
        <v>12544.75</v>
      </c>
      <c r="H18" s="183"/>
      <c r="J18" s="223"/>
      <c r="K18" s="223"/>
      <c r="L18" s="223"/>
      <c r="M18" s="223"/>
    </row>
    <row r="19" s="121" customFormat="1" ht="16.5" spans="2:13">
      <c r="B19" s="178">
        <v>2</v>
      </c>
      <c r="C19" s="179"/>
      <c r="D19" s="184" t="s">
        <v>98</v>
      </c>
      <c r="E19" s="185" t="s">
        <v>99</v>
      </c>
      <c r="F19" s="181"/>
      <c r="G19" s="182"/>
      <c r="H19" s="186"/>
      <c r="J19" s="223"/>
      <c r="K19" s="223"/>
      <c r="L19" s="223"/>
      <c r="M19" s="223"/>
    </row>
    <row r="20" s="121" customFormat="1" ht="16.5" spans="2:13">
      <c r="B20" s="178">
        <v>3</v>
      </c>
      <c r="C20" s="179"/>
      <c r="D20" s="184" t="s">
        <v>100</v>
      </c>
      <c r="E20" s="185" t="s">
        <v>99</v>
      </c>
      <c r="F20" s="181"/>
      <c r="G20" s="182"/>
      <c r="H20" s="186"/>
      <c r="J20" s="223"/>
      <c r="K20" s="223"/>
      <c r="L20" s="223"/>
      <c r="M20" s="223"/>
    </row>
    <row r="21" s="121" customFormat="1" ht="16.5" spans="2:13">
      <c r="B21" s="178">
        <v>6</v>
      </c>
      <c r="C21" s="179"/>
      <c r="D21" s="187" t="s">
        <v>101</v>
      </c>
      <c r="E21" s="187"/>
      <c r="F21" s="181"/>
      <c r="G21" s="188">
        <f>G18+G19+G20</f>
        <v>12544.75</v>
      </c>
      <c r="H21" s="189"/>
      <c r="J21" s="223"/>
      <c r="K21" s="223"/>
      <c r="L21" s="223"/>
      <c r="M21" s="223"/>
    </row>
    <row r="22" s="121" customFormat="1" ht="16.5" spans="2:13">
      <c r="B22" s="178">
        <v>7</v>
      </c>
      <c r="C22" s="179" t="s">
        <v>102</v>
      </c>
      <c r="D22" s="187" t="s">
        <v>103</v>
      </c>
      <c r="E22" s="187"/>
      <c r="F22" s="181"/>
      <c r="G22" s="188">
        <v>0</v>
      </c>
      <c r="H22" s="183"/>
      <c r="J22" s="223"/>
      <c r="K22" s="223"/>
      <c r="L22" s="223"/>
      <c r="M22" s="223"/>
    </row>
    <row r="23" s="121" customFormat="1" ht="16.5" spans="2:13">
      <c r="B23" s="178">
        <v>8</v>
      </c>
      <c r="C23" s="190" t="s">
        <v>104</v>
      </c>
      <c r="D23" s="191">
        <v>0.056</v>
      </c>
      <c r="E23" s="191"/>
      <c r="F23" s="191"/>
      <c r="G23" s="188">
        <v>0</v>
      </c>
      <c r="H23" s="183"/>
      <c r="J23" s="223"/>
      <c r="K23" s="223"/>
      <c r="L23" s="223"/>
      <c r="M23" s="223"/>
    </row>
    <row r="24" s="121" customFormat="1" ht="16.5" spans="2:13">
      <c r="B24" s="178"/>
      <c r="C24" s="190" t="s">
        <v>105</v>
      </c>
      <c r="D24" s="191"/>
      <c r="E24" s="191"/>
      <c r="F24" s="191"/>
      <c r="G24" s="188"/>
      <c r="H24" s="183"/>
      <c r="J24" s="223"/>
      <c r="K24" s="223"/>
      <c r="L24" s="223"/>
      <c r="M24" s="223"/>
    </row>
    <row r="25" s="121" customFormat="1" ht="16.5" spans="2:8">
      <c r="B25" s="192" t="s">
        <v>106</v>
      </c>
      <c r="C25" s="193"/>
      <c r="D25" s="193"/>
      <c r="E25" s="193"/>
      <c r="F25" s="193"/>
      <c r="G25" s="194">
        <f>G21+G22+G23+J27-G24</f>
        <v>12544.75</v>
      </c>
      <c r="H25" s="195"/>
    </row>
    <row r="26" s="121" customFormat="1" ht="16" customHeight="1" spans="2:8">
      <c r="B26" s="196" t="s">
        <v>107</v>
      </c>
      <c r="C26" s="197"/>
      <c r="D26" s="197"/>
      <c r="E26" s="197"/>
      <c r="F26" s="197"/>
      <c r="G26" s="198">
        <f>G25</f>
        <v>12544.75</v>
      </c>
      <c r="H26" s="199"/>
    </row>
    <row r="27" s="121" customFormat="1" ht="14.25"/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5:F25"/>
    <mergeCell ref="B26:F26"/>
    <mergeCell ref="C18:C21"/>
    <mergeCell ref="J17:M23"/>
  </mergeCells>
  <conditionalFormatting sqref="G20:H20 C21:H21 F19:F22">
    <cfRule type="cellIs" dxfId="2" priority="2" stopIfTrue="1" operator="equal">
      <formula>"現金"</formula>
    </cfRule>
    <cfRule type="cellIs" dxfId="3" priority="1" stopIfTrue="1" operator="equal">
      <formula>"信用卡"</formula>
    </cfRule>
  </conditionalFormatting>
  <pageMargins left="0.75" right="0.75" top="1" bottom="1" header="0.5" footer="0.5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2"/>
  <sheetViews>
    <sheetView workbookViewId="0">
      <pane xSplit="6" ySplit="3" topLeftCell="T4" activePane="bottomRight" state="frozen"/>
      <selection/>
      <selection pane="topRight"/>
      <selection pane="bottomLeft"/>
      <selection pane="bottomRight" activeCell="X4" sqref="X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>
        <f>U4/2</f>
        <v>519.9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114" t="s">
        <v>51</v>
      </c>
      <c r="D4" s="37" t="s">
        <v>52</v>
      </c>
      <c r="E4" s="115" t="s">
        <v>53</v>
      </c>
      <c r="F4" s="38" t="str">
        <f>IF(MOD(MID(E4,17,1),2)=1,"男","女")</f>
        <v>男</v>
      </c>
      <c r="G4" s="116">
        <v>18035163638</v>
      </c>
      <c r="H4" s="117"/>
      <c r="I4" s="117"/>
      <c r="J4" s="119"/>
      <c r="K4" s="117"/>
      <c r="L4" s="120">
        <v>10260</v>
      </c>
      <c r="M4" s="120">
        <v>264</v>
      </c>
      <c r="N4" s="120">
        <v>66</v>
      </c>
      <c r="O4" s="120">
        <v>9.9</v>
      </c>
      <c r="P4" s="120">
        <v>180</v>
      </c>
      <c r="Q4" s="89">
        <f>ROUND(SUM(M4:P4),2)</f>
        <v>519.9</v>
      </c>
      <c r="R4" s="70">
        <v>0</v>
      </c>
      <c r="S4" s="90">
        <f>L4+IFERROR(VLOOKUP($E:$E,'（居民）工资表-1月'!$E:$S,15,0),0)</f>
        <v>19760</v>
      </c>
      <c r="T4" s="91">
        <f>5000+IFERROR(VLOOKUP($E:$E,'（居民）工资表-1月'!$E:$T,16,0),0)</f>
        <v>10000</v>
      </c>
      <c r="U4" s="91">
        <f>Q4+IFERROR(VLOOKUP($E:$E,'（居民）工资表-1月'!$E:$U,17,0),0)</f>
        <v>1039.8</v>
      </c>
      <c r="V4" s="70"/>
      <c r="W4" s="70"/>
      <c r="X4" s="70">
        <v>2000</v>
      </c>
      <c r="Y4" s="70"/>
      <c r="Z4" s="70"/>
      <c r="AA4" s="70"/>
      <c r="AB4" s="90">
        <f>ROUND(SUM(V4:AA4),2)</f>
        <v>2000</v>
      </c>
      <c r="AC4" s="90">
        <f>R4+IFERROR(VLOOKUP($E:$E,'（居民）工资表-1月'!$E:$AC,25,0),0)</f>
        <v>0</v>
      </c>
      <c r="AD4" s="93">
        <f>ROUND(S4-T4-U4-AB4-AC4,2)</f>
        <v>6720.2</v>
      </c>
      <c r="AE4" s="94">
        <f>ROUND(MAX((AD4)*{0.03;0.1;0.2;0.25;0.3;0.35;0.45}-{0;2520;16920;31920;52920;85920;181920},0),2)</f>
        <v>201.61</v>
      </c>
      <c r="AF4" s="95">
        <f>IFERROR(VLOOKUP(E:E,'（居民）工资表-1月'!E:AF,28,0)+VLOOKUP(E:E,'（居民）工资表-1月'!E:AG,29,0),0)</f>
        <v>119.4</v>
      </c>
      <c r="AG4" s="95">
        <f>IF((AE4-AF4)&lt;0,0,AE4-AF4)</f>
        <v>82.21</v>
      </c>
      <c r="AH4" s="102">
        <f>ROUND(IF((L4-Q4-AG4)&lt;0,0,(L4-Q4-AG4)),2)</f>
        <v>9657.89</v>
      </c>
      <c r="AI4" s="103"/>
      <c r="AJ4" s="102">
        <f>AH4+AI4</f>
        <v>9657.89</v>
      </c>
      <c r="AK4" s="104"/>
      <c r="AL4" s="102">
        <f>AJ4+AG4+AK4</f>
        <v>9740.1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118" t="s">
        <v>57</v>
      </c>
      <c r="D5" s="37" t="s">
        <v>52</v>
      </c>
      <c r="E5" s="224" t="s">
        <v>58</v>
      </c>
      <c r="F5" s="38" t="str">
        <f>IF(MOD(MID(E5,17,1),2)=1,"男","女")</f>
        <v>女</v>
      </c>
      <c r="G5" s="116">
        <v>13926009696</v>
      </c>
      <c r="H5" s="117"/>
      <c r="I5" s="117"/>
      <c r="J5" s="119"/>
      <c r="K5" s="117"/>
      <c r="L5" s="120">
        <v>5800</v>
      </c>
      <c r="M5" s="120">
        <v>304.24</v>
      </c>
      <c r="N5" s="120">
        <v>123.5</v>
      </c>
      <c r="O5" s="120">
        <v>7.61</v>
      </c>
      <c r="P5" s="120">
        <v>0</v>
      </c>
      <c r="Q5" s="89">
        <f>ROUND(SUM(M5:P5),2)</f>
        <v>435.35</v>
      </c>
      <c r="R5" s="70">
        <v>0</v>
      </c>
      <c r="S5" s="90">
        <f>L5+IFERROR(VLOOKUP($E:$E,'（居民）工资表-1月'!$E:$S,15,0),0)</f>
        <v>11600</v>
      </c>
      <c r="T5" s="91">
        <f>5000+IFERROR(VLOOKUP($E:$E,'（居民）工资表-1月'!$E:$T,16,0),0)</f>
        <v>10000</v>
      </c>
      <c r="U5" s="91">
        <f>Q5+IFERROR(VLOOKUP($E:$E,'（居民）工资表-1月'!$E:$U,17,0),0)</f>
        <v>870.7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R5+IFERROR(VLOOKUP($E:$E,'（居民）工资表-1月'!$E:$AC,25,0),0)</f>
        <v>0</v>
      </c>
      <c r="AD5" s="93">
        <f>ROUND(S5-T5-U5-AB5-AC5,2)</f>
        <v>729.3</v>
      </c>
      <c r="AE5" s="94">
        <f>ROUND(MAX((AD5)*{0.03;0.1;0.2;0.25;0.3;0.35;0.45}-{0;2520;16920;31920;52920;85920;181920},0),2)</f>
        <v>21.88</v>
      </c>
      <c r="AF5" s="95">
        <f>IFERROR(VLOOKUP(E:E,'（居民）工资表-1月'!E:AF,28,0)+VLOOKUP(E:E,'（居民）工资表-1月'!E:AG,29,0),0)</f>
        <v>10.94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59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16060</v>
      </c>
      <c r="M6" s="74">
        <f t="shared" si="0"/>
        <v>568.24</v>
      </c>
      <c r="N6" s="74">
        <f t="shared" si="0"/>
        <v>189.5</v>
      </c>
      <c r="O6" s="74">
        <f t="shared" si="0"/>
        <v>17.51</v>
      </c>
      <c r="P6" s="74">
        <f t="shared" si="0"/>
        <v>180</v>
      </c>
      <c r="Q6" s="74">
        <f t="shared" si="0"/>
        <v>955.25</v>
      </c>
      <c r="R6" s="74">
        <f t="shared" si="0"/>
        <v>0</v>
      </c>
      <c r="S6" s="74">
        <f t="shared" si="0"/>
        <v>31360</v>
      </c>
      <c r="T6" s="74">
        <f t="shared" si="0"/>
        <v>20000</v>
      </c>
      <c r="U6" s="74">
        <f t="shared" si="0"/>
        <v>1910.5</v>
      </c>
      <c r="V6" s="74">
        <f t="shared" si="0"/>
        <v>0</v>
      </c>
      <c r="W6" s="74">
        <f t="shared" si="0"/>
        <v>0</v>
      </c>
      <c r="X6" s="74">
        <f t="shared" si="0"/>
        <v>2000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2000</v>
      </c>
      <c r="AC6" s="74">
        <f t="shared" si="0"/>
        <v>0</v>
      </c>
      <c r="AD6" s="74">
        <f t="shared" si="0"/>
        <v>7449.5</v>
      </c>
      <c r="AE6" s="74">
        <f t="shared" si="0"/>
        <v>223.49</v>
      </c>
      <c r="AF6" s="74">
        <f t="shared" si="0"/>
        <v>130.34</v>
      </c>
      <c r="AG6" s="74">
        <f t="shared" si="0"/>
        <v>93.15</v>
      </c>
      <c r="AH6" s="74">
        <f t="shared" si="0"/>
        <v>15011.6</v>
      </c>
      <c r="AI6" s="105">
        <f t="shared" si="0"/>
        <v>0</v>
      </c>
      <c r="AJ6" s="74">
        <f t="shared" si="0"/>
        <v>15011.6</v>
      </c>
      <c r="AK6" s="74">
        <f t="shared" si="0"/>
        <v>0</v>
      </c>
      <c r="AL6" s="74">
        <f t="shared" si="0"/>
        <v>15104.75</v>
      </c>
      <c r="AM6" s="106"/>
      <c r="AN6" s="106"/>
      <c r="AO6" s="106"/>
      <c r="AP6" s="106"/>
      <c r="AQ6" s="106"/>
      <c r="AR6" s="45"/>
      <c r="AS6" s="45"/>
      <c r="AT6" s="112"/>
    </row>
    <row r="9" spans="30:30">
      <c r="AD9" s="96"/>
    </row>
    <row r="10" ht="18.75" customHeight="1" spans="2:30">
      <c r="B10" s="47" t="s">
        <v>29</v>
      </c>
      <c r="C10" s="47" t="s">
        <v>60</v>
      </c>
      <c r="D10" s="47" t="s">
        <v>30</v>
      </c>
      <c r="E10" s="47" t="s">
        <v>61</v>
      </c>
      <c r="AD10" s="10"/>
    </row>
    <row r="11" ht="18.75" customHeight="1" spans="2:5">
      <c r="B11" s="48">
        <f>AJ6</f>
        <v>15011.6</v>
      </c>
      <c r="C11" s="48">
        <f>AG6</f>
        <v>93.15</v>
      </c>
      <c r="D11" s="48">
        <f>AK6</f>
        <v>0</v>
      </c>
      <c r="E11" s="48">
        <f>B11+C11+D11</f>
        <v>15104.75</v>
      </c>
    </row>
    <row r="12" spans="2:5">
      <c r="B12" s="49"/>
      <c r="C12" s="49"/>
      <c r="D12" s="49"/>
      <c r="E12" s="49"/>
    </row>
    <row r="13" s="14" customFormat="1" spans="1:35">
      <c r="A13" s="50" t="s">
        <v>62</v>
      </c>
      <c r="B13" s="51" t="s">
        <v>63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64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65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66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67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20" ht="11.25" customHeight="1" spans="2:2">
      <c r="B20" s="58" t="s">
        <v>69</v>
      </c>
    </row>
    <row r="21" spans="2:2">
      <c r="B21" s="59" t="s">
        <v>70</v>
      </c>
    </row>
    <row r="22" spans="2:2">
      <c r="B22" s="59" t="s">
        <v>71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0" priority="2" stopIfTrue="1"/>
  </conditionalFormatting>
  <conditionalFormatting sqref="B13:B17">
    <cfRule type="duplicateValues" dxfId="0" priority="3" stopIfTrue="1"/>
  </conditionalFormatting>
  <conditionalFormatting sqref="B21:B22">
    <cfRule type="duplicateValues" dxfId="0" priority="1" stopIfTrue="1"/>
  </conditionalFormatting>
  <conditionalFormatting sqref="C10:C12">
    <cfRule type="duplicateValues" dxfId="0" priority="4" stopIfTrue="1"/>
    <cfRule type="expression" dxfId="1" priority="5" stopIfTrue="1">
      <formula>AND(COUNTIF($B$6:$B$65442,C10)+COUNTIF($B$1:$B$3,C10)&gt;1,NOT(ISBLANK(C10)))</formula>
    </cfRule>
    <cfRule type="expression" dxfId="1" priority="6" stopIfTrue="1">
      <formula>AND(COUNTIF($B$17:$B$65393,C10)+COUNTIF($B$1:$B$16,C10)&gt;1,NOT(ISBLANK(C10)))</formula>
    </cfRule>
    <cfRule type="expression" dxfId="1" priority="7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40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G14" sqref="AG1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114" t="s">
        <v>51</v>
      </c>
      <c r="D4" s="37" t="s">
        <v>52</v>
      </c>
      <c r="E4" s="115" t="s">
        <v>53</v>
      </c>
      <c r="F4" s="38" t="str">
        <f>IF(MOD(MID(E4,17,1),2)=1,"男","女")</f>
        <v>男</v>
      </c>
      <c r="G4" s="116">
        <v>18035163638</v>
      </c>
      <c r="H4" s="117"/>
      <c r="I4" s="117"/>
      <c r="J4" s="119"/>
      <c r="K4" s="117"/>
      <c r="L4" s="120">
        <v>7700</v>
      </c>
      <c r="M4" s="120">
        <v>264</v>
      </c>
      <c r="N4" s="120">
        <v>66</v>
      </c>
      <c r="O4" s="120">
        <v>9.9</v>
      </c>
      <c r="P4" s="120">
        <v>180</v>
      </c>
      <c r="Q4" s="89">
        <f>ROUND(SUM(M4:P4),2)</f>
        <v>519.9</v>
      </c>
      <c r="R4" s="70">
        <v>0</v>
      </c>
      <c r="S4" s="90">
        <f>L4+IFERROR(VLOOKUP($E:$E,'（居民）工资表-2月'!$E:$S,15,0),0)</f>
        <v>27460</v>
      </c>
      <c r="T4" s="91">
        <f>5000+IFERROR(VLOOKUP($E:$E,'（居民）工资表-2月'!$E:$T,16,0),0)</f>
        <v>15000</v>
      </c>
      <c r="U4" s="91">
        <f>Q4+IFERROR(VLOOKUP($E:$E,'（居民）工资表-2月'!$E:$U,17,0),0)</f>
        <v>1559.7</v>
      </c>
      <c r="V4" s="70"/>
      <c r="W4" s="70"/>
      <c r="X4" s="70">
        <v>3000</v>
      </c>
      <c r="Y4" s="70"/>
      <c r="Z4" s="70"/>
      <c r="AA4" s="70"/>
      <c r="AB4" s="90">
        <f>ROUND(SUM(V4:AA4),2)</f>
        <v>3000</v>
      </c>
      <c r="AC4" s="90">
        <f>R4+IFERROR(VLOOKUP($E:$E,'（居民）工资表-2月'!$E:$AC,25,0),0)</f>
        <v>0</v>
      </c>
      <c r="AD4" s="93">
        <f>ROUND(S4-T4-U4-AB4-AC4,2)</f>
        <v>7900.3</v>
      </c>
      <c r="AE4" s="94">
        <f>ROUND(MAX((AD4)*{0.03;0.1;0.2;0.25;0.3;0.35;0.45}-{0;2520;16920;31920;52920;85920;181920},0),2)</f>
        <v>237.01</v>
      </c>
      <c r="AF4" s="95">
        <f>IFERROR(VLOOKUP(E:E,'（居民）工资表-2月'!E:AF,28,0)+VLOOKUP(E:E,'（居民）工资表-2月'!E:AG,29,0),0)</f>
        <v>201.61</v>
      </c>
      <c r="AG4" s="95">
        <f>IF((AE4-AF4)&lt;0,0,AE4-AF4)</f>
        <v>35.4</v>
      </c>
      <c r="AH4" s="102">
        <f>ROUND(IF((L4-Q4-AG4)&lt;0,0,(L4-Q4-AG4)),2)</f>
        <v>7144.7</v>
      </c>
      <c r="AI4" s="103"/>
      <c r="AJ4" s="102">
        <f>AH4+AI4</f>
        <v>7144.7</v>
      </c>
      <c r="AK4" s="104"/>
      <c r="AL4" s="102">
        <f>AJ4+AG4+AK4</f>
        <v>7180.1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118" t="s">
        <v>57</v>
      </c>
      <c r="D5" s="37" t="s">
        <v>52</v>
      </c>
      <c r="E5" s="224" t="s">
        <v>58</v>
      </c>
      <c r="F5" s="38" t="str">
        <f>IF(MOD(MID(E5,17,1),2)=1,"男","女")</f>
        <v>女</v>
      </c>
      <c r="G5" s="116">
        <v>13926009696</v>
      </c>
      <c r="H5" s="117"/>
      <c r="I5" s="117"/>
      <c r="J5" s="119"/>
      <c r="K5" s="117"/>
      <c r="L5" s="120">
        <v>5800</v>
      </c>
      <c r="M5" s="120">
        <v>304.24</v>
      </c>
      <c r="N5" s="120">
        <v>123.5</v>
      </c>
      <c r="O5" s="120">
        <v>7.61</v>
      </c>
      <c r="P5" s="120">
        <v>0</v>
      </c>
      <c r="Q5" s="89">
        <f>ROUND(SUM(M5:P5),2)</f>
        <v>435.35</v>
      </c>
      <c r="R5" s="70">
        <v>0</v>
      </c>
      <c r="S5" s="90">
        <f>L5+IFERROR(VLOOKUP($E:$E,'（居民）工资表-2月'!$E:$S,15,0),0)</f>
        <v>17400</v>
      </c>
      <c r="T5" s="91">
        <f>5000+IFERROR(VLOOKUP($E:$E,'（居民）工资表-2月'!$E:$T,16,0),0)</f>
        <v>15000</v>
      </c>
      <c r="U5" s="91">
        <f>Q5+IFERROR(VLOOKUP($E:$E,'（居民）工资表-2月'!$E:$U,17,0),0)</f>
        <v>1306.05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3">
        <f>ROUND(S5-T5-U5-AB5-AC5,2)</f>
        <v>1093.95</v>
      </c>
      <c r="AE5" s="94">
        <f>ROUND(MAX((AD5)*{0.03;0.1;0.2;0.25;0.3;0.35;0.45}-{0;2520;16920;31920;52920;85920;181920},0),2)</f>
        <v>32.82</v>
      </c>
      <c r="AF5" s="95">
        <f>IFERROR(VLOOKUP(E:E,'（居民）工资表-2月'!E:AF,28,0)+VLOOKUP(E:E,'（居民）工资表-2月'!E:AG,29,0),0)</f>
        <v>21.88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59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13500</v>
      </c>
      <c r="M6" s="74">
        <f t="shared" si="0"/>
        <v>568.24</v>
      </c>
      <c r="N6" s="74">
        <f t="shared" si="0"/>
        <v>189.5</v>
      </c>
      <c r="O6" s="74">
        <f t="shared" si="0"/>
        <v>17.51</v>
      </c>
      <c r="P6" s="74">
        <f t="shared" si="0"/>
        <v>180</v>
      </c>
      <c r="Q6" s="74">
        <f t="shared" si="0"/>
        <v>955.25</v>
      </c>
      <c r="R6" s="74">
        <f t="shared" si="0"/>
        <v>0</v>
      </c>
      <c r="S6" s="74">
        <f t="shared" si="0"/>
        <v>44860</v>
      </c>
      <c r="T6" s="74">
        <f t="shared" si="0"/>
        <v>30000</v>
      </c>
      <c r="U6" s="74">
        <f t="shared" si="0"/>
        <v>2865.75</v>
      </c>
      <c r="V6" s="74">
        <f t="shared" si="0"/>
        <v>0</v>
      </c>
      <c r="W6" s="74">
        <f t="shared" si="0"/>
        <v>0</v>
      </c>
      <c r="X6" s="74">
        <f t="shared" si="0"/>
        <v>3000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3000</v>
      </c>
      <c r="AC6" s="74">
        <f t="shared" si="0"/>
        <v>0</v>
      </c>
      <c r="AD6" s="74">
        <f t="shared" si="0"/>
        <v>8994.25</v>
      </c>
      <c r="AE6" s="74">
        <f t="shared" si="0"/>
        <v>269.83</v>
      </c>
      <c r="AF6" s="74">
        <f t="shared" si="0"/>
        <v>223.49</v>
      </c>
      <c r="AG6" s="74">
        <f t="shared" si="0"/>
        <v>46.34</v>
      </c>
      <c r="AH6" s="74">
        <f t="shared" si="0"/>
        <v>12498.41</v>
      </c>
      <c r="AI6" s="105">
        <f t="shared" si="0"/>
        <v>0</v>
      </c>
      <c r="AJ6" s="74">
        <f t="shared" si="0"/>
        <v>12498.41</v>
      </c>
      <c r="AK6" s="74">
        <f t="shared" si="0"/>
        <v>0</v>
      </c>
      <c r="AL6" s="74">
        <f t="shared" si="0"/>
        <v>12544.75</v>
      </c>
      <c r="AM6" s="106"/>
      <c r="AN6" s="106"/>
      <c r="AO6" s="106"/>
      <c r="AP6" s="106"/>
      <c r="AQ6" s="106"/>
      <c r="AR6" s="45"/>
      <c r="AS6" s="45"/>
      <c r="AT6" s="112"/>
    </row>
    <row r="9" spans="30:30">
      <c r="AD9" s="96"/>
    </row>
    <row r="10" ht="18.75" customHeight="1" spans="2:30">
      <c r="B10" s="47" t="s">
        <v>29</v>
      </c>
      <c r="C10" s="47" t="s">
        <v>60</v>
      </c>
      <c r="D10" s="47" t="s">
        <v>30</v>
      </c>
      <c r="E10" s="47" t="s">
        <v>61</v>
      </c>
      <c r="AD10" s="10"/>
    </row>
    <row r="11" ht="18.75" customHeight="1" spans="2:5">
      <c r="B11" s="48">
        <f>AJ6</f>
        <v>12498.41</v>
      </c>
      <c r="C11" s="48">
        <f>AG6</f>
        <v>46.34</v>
      </c>
      <c r="D11" s="48">
        <f>AK6</f>
        <v>0</v>
      </c>
      <c r="E11" s="48">
        <f>B11+C11+D11</f>
        <v>12544.75</v>
      </c>
    </row>
    <row r="12" spans="2:5">
      <c r="B12" s="49"/>
      <c r="C12" s="49"/>
      <c r="D12" s="49"/>
      <c r="E12" s="49"/>
    </row>
    <row r="13" s="14" customFormat="1" spans="1:35">
      <c r="A13" s="50" t="s">
        <v>62</v>
      </c>
      <c r="B13" s="51" t="s">
        <v>63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64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65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66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67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20" ht="11.25" customHeight="1" spans="2:2">
      <c r="B20" s="58" t="s">
        <v>69</v>
      </c>
    </row>
    <row r="21" spans="2:2">
      <c r="B21" s="59" t="s">
        <v>70</v>
      </c>
    </row>
    <row r="22" spans="2:2">
      <c r="B22" s="59" t="s">
        <v>71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0" priority="2" stopIfTrue="1"/>
  </conditionalFormatting>
  <conditionalFormatting sqref="B13:B17">
    <cfRule type="duplicateValues" dxfId="0" priority="3" stopIfTrue="1"/>
  </conditionalFormatting>
  <conditionalFormatting sqref="B21:B22">
    <cfRule type="duplicateValues" dxfId="0" priority="1" stopIfTrue="1"/>
  </conditionalFormatting>
  <conditionalFormatting sqref="C10:C12">
    <cfRule type="duplicateValues" dxfId="0" priority="4" stopIfTrue="1"/>
    <cfRule type="expression" dxfId="1" priority="5" stopIfTrue="1">
      <formula>AND(COUNTIF($B$6:$B$65442,C10)+COUNTIF($B$1:$B$3,C10)&gt;1,NOT(ISBLANK(C10)))</formula>
    </cfRule>
    <cfRule type="expression" dxfId="1" priority="6" stopIfTrue="1">
      <formula>AND(COUNTIF($B$17:$B$65393,C10)+COUNTIF($B$1:$B$16,C10)&gt;1,NOT(ISBLANK(C10)))</formula>
    </cfRule>
    <cfRule type="expression" dxfId="1" priority="7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108</v>
      </c>
      <c r="C4" s="37"/>
      <c r="D4" s="37" t="s">
        <v>52</v>
      </c>
      <c r="E4" s="37" t="s">
        <v>109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f>18888.89-500-50-5-0.5-0.06</f>
        <v>18333.33</v>
      </c>
      <c r="M4" s="71"/>
      <c r="N4" s="71"/>
      <c r="O4" s="71"/>
      <c r="P4" s="71"/>
      <c r="Q4" s="89">
        <f>ROUND(SUM(M4:P4),2)</f>
        <v>0</v>
      </c>
      <c r="R4" s="70">
        <v>0</v>
      </c>
      <c r="S4" s="90">
        <f>L4+IFERROR(VLOOKUP($E:$E,'（居民）工资表-3月'!$E:$S,15,0),0)</f>
        <v>18333.33</v>
      </c>
      <c r="T4" s="91">
        <f>5000+IFERROR(VLOOKUP($E:$E,'（居民）工资表-3月'!$E:$T,16,0),0)</f>
        <v>5000</v>
      </c>
      <c r="U4" s="91">
        <f>Q4+IFERROR(VLOOKUP($E:$E,'（居民）工资表-3月'!$E:$U,17,0),0)</f>
        <v>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R4+IFERROR(VLOOKUP($E:$E,'（居民）工资表-3月'!$E:$AC,25,0),0)</f>
        <v>0</v>
      </c>
      <c r="AD4" s="93">
        <f>ROUND(S4-T4-U4-AB4-AC4,2)</f>
        <v>13333.33</v>
      </c>
      <c r="AE4" s="94">
        <f>ROUND(MAX((AD4)*{0.03;0.1;0.2;0.25;0.3;0.35;0.45}-{0;2520;16920;31920;52920;85920;181920},0),2)</f>
        <v>400</v>
      </c>
      <c r="AF4" s="95">
        <f>IFERROR(VLOOKUP(E:E,'（居民）工资表-3月'!E:AF,28,0)+VLOOKUP(E:E,'（居民）工资表-3月'!E:AG,29,0),0)</f>
        <v>0</v>
      </c>
      <c r="AG4" s="95">
        <f>IF((AE4-AF4)&lt;0,0,AE4-AF4)</f>
        <v>400</v>
      </c>
      <c r="AH4" s="102">
        <f>ROUND(IF((L4-Q4-AG4)&lt;0,0,(L4-Q4-AG4)),2)</f>
        <v>17933.33</v>
      </c>
      <c r="AI4" s="103"/>
      <c r="AJ4" s="102">
        <f>AH4+AI4</f>
        <v>17933.33</v>
      </c>
      <c r="AK4" s="104"/>
      <c r="AL4" s="102">
        <f>AJ4+AG4+AK4</f>
        <v>18333.33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108</v>
      </c>
      <c r="C5" s="37"/>
      <c r="D5" s="37" t="s">
        <v>52</v>
      </c>
      <c r="E5" s="37"/>
      <c r="F5" s="38" t="e">
        <f t="shared" si="0"/>
        <v>#VALUE!</v>
      </c>
      <c r="G5" s="39"/>
      <c r="H5" s="40"/>
      <c r="I5" s="40"/>
      <c r="J5" s="69"/>
      <c r="K5" s="40"/>
      <c r="L5" s="70"/>
      <c r="M5" s="71"/>
      <c r="N5" s="71"/>
      <c r="O5" s="71"/>
      <c r="P5" s="71"/>
      <c r="Q5" s="89">
        <f t="shared" ref="Q5:Q23" si="4">ROUND(SUM(M5:P5),2)</f>
        <v>0</v>
      </c>
      <c r="R5" s="70">
        <v>0</v>
      </c>
      <c r="S5" s="90">
        <f>L5+IFERROR(VLOOKUP($E:$E,'（居民）工资表-3月'!$E:$S,15,0),0)</f>
        <v>0</v>
      </c>
      <c r="T5" s="91">
        <f>5000+IFERROR(VLOOKUP($E:$E,'（居民）工资表-3月'!$E:$T,16,0),0)</f>
        <v>5000</v>
      </c>
      <c r="U5" s="91">
        <f>Q5+IFERROR(VLOOKUP($E:$E,'（居民）工资表-3月'!$E:$U,17,0),0)</f>
        <v>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R5+IFERROR(VLOOKUP($E:$E,'（居民）工资表-3月'!$E:$AC,25,0),0)</f>
        <v>0</v>
      </c>
      <c r="AD5" s="93">
        <f t="shared" ref="AD5:AD23" si="6">ROUND(S5-T5-U5-AB5-AC5,2)</f>
        <v>-5000</v>
      </c>
      <c r="AE5" s="94">
        <f>ROUND(MAX((AD5)*{0.03;0.1;0.2;0.25;0.3;0.35;0.45}-{0;2520;16920;31920;52920;85920;181920},0),2)</f>
        <v>0</v>
      </c>
      <c r="AF5" s="95">
        <f>IFERROR(VLOOKUP(E:E,'（居民）工资表-3月'!E:AF,28,0)+VLOOKUP(E:E,'（居民）工资表-3月'!E:AG,29,0),0)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0</v>
      </c>
      <c r="AI5" s="103"/>
      <c r="AJ5" s="102">
        <f t="shared" ref="AJ5:AJ23" si="9">AH5+AI5</f>
        <v>0</v>
      </c>
      <c r="AK5" s="104"/>
      <c r="AL5" s="102">
        <f t="shared" ref="AL5:AL23" si="10">AJ5+AG5+AK5</f>
        <v>0</v>
      </c>
      <c r="AM5" s="104"/>
      <c r="AN5" s="104"/>
      <c r="AO5" s="104"/>
      <c r="AP5" s="104"/>
      <c r="AQ5" s="104"/>
      <c r="AR5" s="111" t="str">
        <f t="shared" si="1"/>
        <v>未填写身份证号码</v>
      </c>
      <c r="AS5" s="111" t="str">
        <f t="shared" si="2"/>
        <v>重复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108</v>
      </c>
      <c r="C6" s="37"/>
      <c r="D6" s="37" t="s">
        <v>52</v>
      </c>
      <c r="E6" s="37"/>
      <c r="F6" s="38" t="e">
        <f t="shared" si="0"/>
        <v>#VALUE!</v>
      </c>
      <c r="G6" s="39"/>
      <c r="H6" s="40"/>
      <c r="I6" s="40"/>
      <c r="J6" s="69"/>
      <c r="K6" s="40"/>
      <c r="L6" s="70"/>
      <c r="M6" s="71"/>
      <c r="N6" s="71"/>
      <c r="O6" s="71"/>
      <c r="P6" s="71"/>
      <c r="Q6" s="89">
        <f t="shared" si="4"/>
        <v>0</v>
      </c>
      <c r="R6" s="70">
        <v>0</v>
      </c>
      <c r="S6" s="90">
        <f>L6+IFERROR(VLOOKUP($E:$E,'（居民）工资表-3月'!$E:$S,15,0),0)</f>
        <v>0</v>
      </c>
      <c r="T6" s="91">
        <f>5000+IFERROR(VLOOKUP($E:$E,'（居民）工资表-3月'!$E:$T,16,0),0)</f>
        <v>5000</v>
      </c>
      <c r="U6" s="91">
        <f>Q6+IFERROR(VLOOKUP($E:$E,'（居民）工资表-3月'!$E:$U,17,0),0)</f>
        <v>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R6+IFERROR(VLOOKUP($E:$E,'（居民）工资表-3月'!$E:$AC,25,0),0)</f>
        <v>0</v>
      </c>
      <c r="AD6" s="93">
        <f t="shared" si="6"/>
        <v>-5000</v>
      </c>
      <c r="AE6" s="94">
        <f>ROUND(MAX((AD6)*{0.03;0.1;0.2;0.25;0.3;0.35;0.45}-{0;2520;16920;31920;52920;85920;181920},0),2)</f>
        <v>0</v>
      </c>
      <c r="AF6" s="95">
        <f>IFERROR(VLOOKUP(E:E,'（居民）工资表-3月'!E:AF,28,0)+VLOOKUP(E:E,'（居民）工资表-3月'!E:AG,29,0),0)</f>
        <v>0</v>
      </c>
      <c r="AG6" s="95">
        <f t="shared" si="7"/>
        <v>0</v>
      </c>
      <c r="AH6" s="102">
        <f t="shared" si="8"/>
        <v>0</v>
      </c>
      <c r="AI6" s="103"/>
      <c r="AJ6" s="102">
        <f t="shared" si="9"/>
        <v>0</v>
      </c>
      <c r="AK6" s="104"/>
      <c r="AL6" s="102">
        <f t="shared" si="10"/>
        <v>0</v>
      </c>
      <c r="AM6" s="104"/>
      <c r="AN6" s="104"/>
      <c r="AO6" s="104"/>
      <c r="AP6" s="104"/>
      <c r="AQ6" s="104"/>
      <c r="AR6" s="111" t="str">
        <f t="shared" si="1"/>
        <v>未填写身份证号码</v>
      </c>
      <c r="AS6" s="111" t="str">
        <f t="shared" si="2"/>
        <v>重复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108</v>
      </c>
      <c r="C7" s="37"/>
      <c r="D7" s="37" t="s">
        <v>52</v>
      </c>
      <c r="E7" s="37"/>
      <c r="F7" s="38" t="e">
        <f t="shared" si="0"/>
        <v>#VALUE!</v>
      </c>
      <c r="G7" s="39"/>
      <c r="H7" s="40"/>
      <c r="I7" s="40"/>
      <c r="J7" s="69"/>
      <c r="K7" s="40"/>
      <c r="L7" s="70"/>
      <c r="M7" s="71"/>
      <c r="N7" s="71"/>
      <c r="O7" s="71"/>
      <c r="P7" s="71"/>
      <c r="Q7" s="89">
        <f t="shared" si="4"/>
        <v>0</v>
      </c>
      <c r="R7" s="70">
        <v>0</v>
      </c>
      <c r="S7" s="90">
        <f>L7+IFERROR(VLOOKUP($E:$E,'（居民）工资表-3月'!$E:$S,15,0),0)</f>
        <v>0</v>
      </c>
      <c r="T7" s="91">
        <f>5000+IFERROR(VLOOKUP($E:$E,'（居民）工资表-3月'!$E:$T,16,0),0)</f>
        <v>5000</v>
      </c>
      <c r="U7" s="91">
        <f>Q7+IFERROR(VLOOKUP($E:$E,'（居民）工资表-3月'!$E:$U,17,0),0)</f>
        <v>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R7+IFERROR(VLOOKUP($E:$E,'（居民）工资表-3月'!$E:$AC,25,0),0)</f>
        <v>0</v>
      </c>
      <c r="AD7" s="93">
        <f t="shared" si="6"/>
        <v>-5000</v>
      </c>
      <c r="AE7" s="94">
        <f>ROUND(MAX((AD7)*{0.03;0.1;0.2;0.25;0.3;0.35;0.45}-{0;2520;16920;31920;52920;85920;181920},0),2)</f>
        <v>0</v>
      </c>
      <c r="AF7" s="95">
        <f>IFERROR(VLOOKUP(E:E,'（居民）工资表-3月'!E:AF,28,0)+VLOOKUP(E:E,'（居民）工资表-3月'!E:AG,29,0),0)</f>
        <v>0</v>
      </c>
      <c r="AG7" s="95">
        <f t="shared" si="7"/>
        <v>0</v>
      </c>
      <c r="AH7" s="102">
        <f t="shared" si="8"/>
        <v>0</v>
      </c>
      <c r="AI7" s="103"/>
      <c r="AJ7" s="102">
        <f t="shared" si="9"/>
        <v>0</v>
      </c>
      <c r="AK7" s="104"/>
      <c r="AL7" s="102">
        <f t="shared" si="10"/>
        <v>0</v>
      </c>
      <c r="AM7" s="104"/>
      <c r="AN7" s="104"/>
      <c r="AO7" s="104"/>
      <c r="AP7" s="104"/>
      <c r="AQ7" s="104"/>
      <c r="AR7" s="111" t="str">
        <f t="shared" si="1"/>
        <v>未填写身份证号码</v>
      </c>
      <c r="AS7" s="111" t="str">
        <f t="shared" si="2"/>
        <v>重复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108</v>
      </c>
      <c r="C8" s="37"/>
      <c r="D8" s="37" t="s">
        <v>52</v>
      </c>
      <c r="E8" s="37"/>
      <c r="F8" s="38" t="e">
        <f t="shared" si="0"/>
        <v>#VALUE!</v>
      </c>
      <c r="G8" s="39"/>
      <c r="H8" s="40"/>
      <c r="I8" s="40"/>
      <c r="J8" s="69"/>
      <c r="K8" s="40"/>
      <c r="L8" s="70"/>
      <c r="M8" s="71"/>
      <c r="N8" s="71"/>
      <c r="O8" s="71"/>
      <c r="P8" s="71"/>
      <c r="Q8" s="89">
        <f t="shared" si="4"/>
        <v>0</v>
      </c>
      <c r="R8" s="70">
        <v>0</v>
      </c>
      <c r="S8" s="90">
        <f>L8+IFERROR(VLOOKUP($E:$E,'（居民）工资表-3月'!$E:$S,15,0),0)</f>
        <v>0</v>
      </c>
      <c r="T8" s="91">
        <f>5000+IFERROR(VLOOKUP($E:$E,'（居民）工资表-3月'!$E:$T,16,0),0)</f>
        <v>5000</v>
      </c>
      <c r="U8" s="91">
        <f>Q8+IFERROR(VLOOKUP($E:$E,'（居民）工资表-3月'!$E:$U,17,0),0)</f>
        <v>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R8+IFERROR(VLOOKUP($E:$E,'（居民）工资表-3月'!$E:$AC,25,0),0)</f>
        <v>0</v>
      </c>
      <c r="AD8" s="93">
        <f t="shared" si="6"/>
        <v>-5000</v>
      </c>
      <c r="AE8" s="94">
        <f>ROUND(MAX((AD8)*{0.03;0.1;0.2;0.25;0.3;0.35;0.45}-{0;2520;16920;31920;52920;85920;181920},0),2)</f>
        <v>0</v>
      </c>
      <c r="AF8" s="95">
        <f>IFERROR(VLOOKUP(E:E,'（居民）工资表-3月'!E:AF,28,0)+VLOOKUP(E:E,'（居民）工资表-3月'!E:AG,29,0),0)</f>
        <v>0</v>
      </c>
      <c r="AG8" s="95">
        <f t="shared" si="7"/>
        <v>0</v>
      </c>
      <c r="AH8" s="102">
        <f t="shared" si="8"/>
        <v>0</v>
      </c>
      <c r="AI8" s="103"/>
      <c r="AJ8" s="102">
        <f t="shared" si="9"/>
        <v>0</v>
      </c>
      <c r="AK8" s="104"/>
      <c r="AL8" s="102">
        <f t="shared" si="10"/>
        <v>0</v>
      </c>
      <c r="AM8" s="104"/>
      <c r="AN8" s="104"/>
      <c r="AO8" s="104"/>
      <c r="AP8" s="104"/>
      <c r="AQ8" s="104"/>
      <c r="AR8" s="111" t="str">
        <f t="shared" si="1"/>
        <v>未填写身份证号码</v>
      </c>
      <c r="AS8" s="111" t="str">
        <f t="shared" si="2"/>
        <v>重复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108</v>
      </c>
      <c r="C9" s="37"/>
      <c r="D9" s="37" t="s">
        <v>52</v>
      </c>
      <c r="E9" s="37"/>
      <c r="F9" s="38" t="e">
        <f t="shared" si="0"/>
        <v>#VALUE!</v>
      </c>
      <c r="G9" s="39"/>
      <c r="H9" s="40"/>
      <c r="I9" s="40"/>
      <c r="J9" s="69"/>
      <c r="K9" s="40"/>
      <c r="L9" s="70"/>
      <c r="M9" s="71"/>
      <c r="N9" s="71"/>
      <c r="O9" s="71"/>
      <c r="P9" s="71"/>
      <c r="Q9" s="89">
        <f t="shared" si="4"/>
        <v>0</v>
      </c>
      <c r="R9" s="70">
        <v>0</v>
      </c>
      <c r="S9" s="90">
        <f>L9+IFERROR(VLOOKUP($E:$E,'（居民）工资表-3月'!$E:$S,15,0),0)</f>
        <v>0</v>
      </c>
      <c r="T9" s="91">
        <f>5000+IFERROR(VLOOKUP($E:$E,'（居民）工资表-3月'!$E:$T,16,0),0)</f>
        <v>5000</v>
      </c>
      <c r="U9" s="91">
        <f>Q9+IFERROR(VLOOKUP($E:$E,'（居民）工资表-3月'!$E:$U,17,0),0)</f>
        <v>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R9+IFERROR(VLOOKUP($E:$E,'（居民）工资表-3月'!$E:$AC,25,0),0)</f>
        <v>0</v>
      </c>
      <c r="AD9" s="93">
        <f t="shared" si="6"/>
        <v>-5000</v>
      </c>
      <c r="AE9" s="94">
        <f>ROUND(MAX((AD9)*{0.03;0.1;0.2;0.25;0.3;0.35;0.45}-{0;2520;16920;31920;52920;85920;181920},0),2)</f>
        <v>0</v>
      </c>
      <c r="AF9" s="95">
        <f>IFERROR(VLOOKUP(E:E,'（居民）工资表-3月'!E:AF,28,0)+VLOOKUP(E:E,'（居民）工资表-3月'!E:AG,29,0),0)</f>
        <v>0</v>
      </c>
      <c r="AG9" s="95">
        <f t="shared" si="7"/>
        <v>0</v>
      </c>
      <c r="AH9" s="102">
        <f t="shared" si="8"/>
        <v>0</v>
      </c>
      <c r="AI9" s="103"/>
      <c r="AJ9" s="102">
        <f t="shared" si="9"/>
        <v>0</v>
      </c>
      <c r="AK9" s="104"/>
      <c r="AL9" s="102">
        <f t="shared" si="10"/>
        <v>0</v>
      </c>
      <c r="AM9" s="104"/>
      <c r="AN9" s="104"/>
      <c r="AO9" s="104"/>
      <c r="AP9" s="104"/>
      <c r="AQ9" s="104"/>
      <c r="AR9" s="111" t="str">
        <f t="shared" si="1"/>
        <v>未填写身份证号码</v>
      </c>
      <c r="AS9" s="111" t="str">
        <f t="shared" si="2"/>
        <v>重复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108</v>
      </c>
      <c r="C10" s="37"/>
      <c r="D10" s="37" t="s">
        <v>52</v>
      </c>
      <c r="E10" s="37"/>
      <c r="F10" s="38" t="e">
        <f t="shared" si="0"/>
        <v>#VALUE!</v>
      </c>
      <c r="G10" s="39"/>
      <c r="H10" s="40"/>
      <c r="I10" s="40"/>
      <c r="J10" s="69"/>
      <c r="K10" s="40"/>
      <c r="L10" s="70"/>
      <c r="M10" s="71"/>
      <c r="N10" s="71"/>
      <c r="O10" s="71"/>
      <c r="P10" s="71"/>
      <c r="Q10" s="89">
        <f t="shared" si="4"/>
        <v>0</v>
      </c>
      <c r="R10" s="70">
        <v>0</v>
      </c>
      <c r="S10" s="90">
        <f>L10+IFERROR(VLOOKUP($E:$E,'（居民）工资表-3月'!$E:$S,15,0),0)</f>
        <v>0</v>
      </c>
      <c r="T10" s="91">
        <f>5000+IFERROR(VLOOKUP($E:$E,'（居民）工资表-3月'!$E:$T,16,0),0)</f>
        <v>5000</v>
      </c>
      <c r="U10" s="91">
        <f>Q10+IFERROR(VLOOKUP($E:$E,'（居民）工资表-3月'!$E:$U,17,0),0)</f>
        <v>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R10+IFERROR(VLOOKUP($E:$E,'（居民）工资表-3月'!$E:$AC,25,0),0)</f>
        <v>0</v>
      </c>
      <c r="AD10" s="93">
        <f t="shared" si="6"/>
        <v>-5000</v>
      </c>
      <c r="AE10" s="94">
        <f>ROUND(MAX((AD10)*{0.03;0.1;0.2;0.25;0.3;0.35;0.45}-{0;2520;16920;31920;52920;85920;181920},0),2)</f>
        <v>0</v>
      </c>
      <c r="AF10" s="95">
        <f>IFERROR(VLOOKUP(E:E,'（居民）工资表-3月'!E:AF,28,0)+VLOOKUP(E:E,'（居民）工资表-3月'!E:AG,29,0),0)</f>
        <v>0</v>
      </c>
      <c r="AG10" s="95">
        <f t="shared" si="7"/>
        <v>0</v>
      </c>
      <c r="AH10" s="102">
        <f t="shared" si="8"/>
        <v>0</v>
      </c>
      <c r="AI10" s="103"/>
      <c r="AJ10" s="102">
        <f t="shared" si="9"/>
        <v>0</v>
      </c>
      <c r="AK10" s="104"/>
      <c r="AL10" s="102">
        <f t="shared" si="10"/>
        <v>0</v>
      </c>
      <c r="AM10" s="104"/>
      <c r="AN10" s="104"/>
      <c r="AO10" s="104"/>
      <c r="AP10" s="104"/>
      <c r="AQ10" s="104"/>
      <c r="AR10" s="111" t="str">
        <f t="shared" si="1"/>
        <v>未填写身份证号码</v>
      </c>
      <c r="AS10" s="111" t="str">
        <f t="shared" si="2"/>
        <v>重复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108</v>
      </c>
      <c r="C11" s="37"/>
      <c r="D11" s="37" t="s">
        <v>52</v>
      </c>
      <c r="E11" s="37"/>
      <c r="F11" s="38" t="e">
        <f t="shared" si="0"/>
        <v>#VALUE!</v>
      </c>
      <c r="G11" s="39"/>
      <c r="H11" s="40"/>
      <c r="I11" s="40"/>
      <c r="J11" s="69"/>
      <c r="K11" s="40"/>
      <c r="L11" s="70"/>
      <c r="M11" s="71"/>
      <c r="N11" s="71"/>
      <c r="O11" s="71"/>
      <c r="P11" s="71"/>
      <c r="Q11" s="89">
        <f t="shared" si="4"/>
        <v>0</v>
      </c>
      <c r="R11" s="70">
        <v>0</v>
      </c>
      <c r="S11" s="90">
        <f>L11+IFERROR(VLOOKUP($E:$E,'（居民）工资表-3月'!$E:$S,15,0),0)</f>
        <v>0</v>
      </c>
      <c r="T11" s="91">
        <f>5000+IFERROR(VLOOKUP($E:$E,'（居民）工资表-3月'!$E:$T,16,0),0)</f>
        <v>5000</v>
      </c>
      <c r="U11" s="91">
        <f>Q11+IFERROR(VLOOKUP($E:$E,'（居民）工资表-3月'!$E:$U,17,0),0)</f>
        <v>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R11+IFERROR(VLOOKUP($E:$E,'（居民）工资表-3月'!$E:$AC,25,0),0)</f>
        <v>0</v>
      </c>
      <c r="AD11" s="93">
        <f t="shared" si="6"/>
        <v>-5000</v>
      </c>
      <c r="AE11" s="94">
        <f>ROUND(MAX((AD11)*{0.03;0.1;0.2;0.25;0.3;0.35;0.45}-{0;2520;16920;31920;52920;85920;181920},0),2)</f>
        <v>0</v>
      </c>
      <c r="AF11" s="95">
        <f>IFERROR(VLOOKUP(E:E,'（居民）工资表-3月'!E:AF,28,0)+VLOOKUP(E:E,'（居民）工资表-3月'!E:AG,29,0),0)</f>
        <v>0</v>
      </c>
      <c r="AG11" s="95">
        <f t="shared" si="7"/>
        <v>0</v>
      </c>
      <c r="AH11" s="102">
        <f t="shared" si="8"/>
        <v>0</v>
      </c>
      <c r="AI11" s="103"/>
      <c r="AJ11" s="102">
        <f t="shared" si="9"/>
        <v>0</v>
      </c>
      <c r="AK11" s="104"/>
      <c r="AL11" s="102">
        <f t="shared" si="10"/>
        <v>0</v>
      </c>
      <c r="AM11" s="104"/>
      <c r="AN11" s="104"/>
      <c r="AO11" s="104"/>
      <c r="AP11" s="104"/>
      <c r="AQ11" s="104"/>
      <c r="AR11" s="111" t="str">
        <f t="shared" si="1"/>
        <v>未填写身份证号码</v>
      </c>
      <c r="AS11" s="111" t="str">
        <f t="shared" si="2"/>
        <v>重复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108</v>
      </c>
      <c r="C12" s="37"/>
      <c r="D12" s="37" t="s">
        <v>52</v>
      </c>
      <c r="E12" s="37"/>
      <c r="F12" s="38" t="e">
        <f t="shared" si="0"/>
        <v>#VALUE!</v>
      </c>
      <c r="G12" s="39"/>
      <c r="H12" s="40"/>
      <c r="I12" s="40"/>
      <c r="J12" s="69"/>
      <c r="K12" s="40"/>
      <c r="L12" s="70"/>
      <c r="M12" s="71"/>
      <c r="N12" s="71"/>
      <c r="O12" s="71"/>
      <c r="P12" s="71"/>
      <c r="Q12" s="89">
        <f t="shared" si="4"/>
        <v>0</v>
      </c>
      <c r="R12" s="70">
        <v>0</v>
      </c>
      <c r="S12" s="90">
        <f>L12+IFERROR(VLOOKUP($E:$E,'（居民）工资表-3月'!$E:$S,15,0),0)</f>
        <v>0</v>
      </c>
      <c r="T12" s="91">
        <f>5000+IFERROR(VLOOKUP($E:$E,'（居民）工资表-3月'!$E:$T,16,0),0)</f>
        <v>5000</v>
      </c>
      <c r="U12" s="91">
        <f>Q12+IFERROR(VLOOKUP($E:$E,'（居民）工资表-3月'!$E:$U,17,0),0)</f>
        <v>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R12+IFERROR(VLOOKUP($E:$E,'（居民）工资表-3月'!$E:$AC,25,0),0)</f>
        <v>0</v>
      </c>
      <c r="AD12" s="93">
        <f t="shared" si="6"/>
        <v>-5000</v>
      </c>
      <c r="AE12" s="94">
        <f>ROUND(MAX((AD12)*{0.03;0.1;0.2;0.25;0.3;0.35;0.45}-{0;2520;16920;31920;52920;85920;181920},0),2)</f>
        <v>0</v>
      </c>
      <c r="AF12" s="95">
        <f>IFERROR(VLOOKUP(E:E,'（居民）工资表-3月'!E:AF,28,0)+VLOOKUP(E:E,'（居民）工资表-3月'!E:AG,29,0),0)</f>
        <v>0</v>
      </c>
      <c r="AG12" s="95">
        <f t="shared" si="7"/>
        <v>0</v>
      </c>
      <c r="AH12" s="102">
        <f t="shared" si="8"/>
        <v>0</v>
      </c>
      <c r="AI12" s="103"/>
      <c r="AJ12" s="102">
        <f t="shared" si="9"/>
        <v>0</v>
      </c>
      <c r="AK12" s="104"/>
      <c r="AL12" s="102">
        <f t="shared" si="10"/>
        <v>0</v>
      </c>
      <c r="AM12" s="104"/>
      <c r="AN12" s="104"/>
      <c r="AO12" s="104"/>
      <c r="AP12" s="104"/>
      <c r="AQ12" s="104"/>
      <c r="AR12" s="111" t="str">
        <f t="shared" si="1"/>
        <v>未填写身份证号码</v>
      </c>
      <c r="AS12" s="111" t="str">
        <f t="shared" si="2"/>
        <v>重复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108</v>
      </c>
      <c r="C13" s="37"/>
      <c r="D13" s="37" t="s">
        <v>52</v>
      </c>
      <c r="E13" s="37"/>
      <c r="F13" s="38" t="e">
        <f t="shared" si="0"/>
        <v>#VALUE!</v>
      </c>
      <c r="G13" s="39"/>
      <c r="H13" s="40"/>
      <c r="I13" s="40"/>
      <c r="J13" s="69"/>
      <c r="K13" s="40"/>
      <c r="L13" s="70"/>
      <c r="M13" s="71"/>
      <c r="N13" s="71"/>
      <c r="O13" s="71"/>
      <c r="P13" s="71"/>
      <c r="Q13" s="89">
        <f t="shared" si="4"/>
        <v>0</v>
      </c>
      <c r="R13" s="70">
        <v>0</v>
      </c>
      <c r="S13" s="90">
        <f>L13+IFERROR(VLOOKUP($E:$E,'（居民）工资表-3月'!$E:$S,15,0),0)</f>
        <v>0</v>
      </c>
      <c r="T13" s="91">
        <f>5000+IFERROR(VLOOKUP($E:$E,'（居民）工资表-3月'!$E:$T,16,0),0)</f>
        <v>5000</v>
      </c>
      <c r="U13" s="91">
        <f>Q13+IFERROR(VLOOKUP($E:$E,'（居民）工资表-3月'!$E:$U,17,0),0)</f>
        <v>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R13+IFERROR(VLOOKUP($E:$E,'（居民）工资表-3月'!$E:$AC,25,0),0)</f>
        <v>0</v>
      </c>
      <c r="AD13" s="93">
        <f t="shared" si="6"/>
        <v>-5000</v>
      </c>
      <c r="AE13" s="94">
        <f>ROUND(MAX((AD13)*{0.03;0.1;0.2;0.25;0.3;0.35;0.45}-{0;2520;16920;31920;52920;85920;181920},0),2)</f>
        <v>0</v>
      </c>
      <c r="AF13" s="95">
        <f>IFERROR(VLOOKUP(E:E,'（居民）工资表-3月'!E:AF,28,0)+VLOOKUP(E:E,'（居民）工资表-3月'!E:AG,29,0),0)</f>
        <v>0</v>
      </c>
      <c r="AG13" s="95">
        <f t="shared" si="7"/>
        <v>0</v>
      </c>
      <c r="AH13" s="102">
        <f t="shared" si="8"/>
        <v>0</v>
      </c>
      <c r="AI13" s="103"/>
      <c r="AJ13" s="102">
        <f t="shared" si="9"/>
        <v>0</v>
      </c>
      <c r="AK13" s="104"/>
      <c r="AL13" s="102">
        <f t="shared" si="10"/>
        <v>0</v>
      </c>
      <c r="AM13" s="104"/>
      <c r="AN13" s="104"/>
      <c r="AO13" s="104"/>
      <c r="AP13" s="104"/>
      <c r="AQ13" s="104"/>
      <c r="AR13" s="111" t="str">
        <f t="shared" si="1"/>
        <v>未填写身份证号码</v>
      </c>
      <c r="AS13" s="111" t="str">
        <f t="shared" si="2"/>
        <v>重复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108</v>
      </c>
      <c r="C14" s="37"/>
      <c r="D14" s="37" t="s">
        <v>52</v>
      </c>
      <c r="E14" s="37"/>
      <c r="F14" s="38" t="e">
        <f t="shared" si="0"/>
        <v>#VALUE!</v>
      </c>
      <c r="G14" s="39"/>
      <c r="H14" s="40"/>
      <c r="I14" s="40"/>
      <c r="J14" s="69"/>
      <c r="K14" s="40"/>
      <c r="L14" s="70"/>
      <c r="M14" s="71"/>
      <c r="N14" s="71"/>
      <c r="O14" s="71"/>
      <c r="P14" s="71"/>
      <c r="Q14" s="89">
        <f t="shared" si="4"/>
        <v>0</v>
      </c>
      <c r="R14" s="70">
        <v>0</v>
      </c>
      <c r="S14" s="90">
        <f>L14+IFERROR(VLOOKUP($E:$E,'（居民）工资表-3月'!$E:$S,15,0),0)</f>
        <v>0</v>
      </c>
      <c r="T14" s="91">
        <f>5000+IFERROR(VLOOKUP($E:$E,'（居民）工资表-3月'!$E:$T,16,0),0)</f>
        <v>5000</v>
      </c>
      <c r="U14" s="91">
        <f>Q14+IFERROR(VLOOKUP($E:$E,'（居民）工资表-3月'!$E:$U,17,0),0)</f>
        <v>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R14+IFERROR(VLOOKUP($E:$E,'（居民）工资表-3月'!$E:$AC,25,0),0)</f>
        <v>0</v>
      </c>
      <c r="AD14" s="93">
        <f t="shared" si="6"/>
        <v>-5000</v>
      </c>
      <c r="AE14" s="94">
        <f>ROUND(MAX((AD14)*{0.03;0.1;0.2;0.25;0.3;0.35;0.45}-{0;2520;16920;31920;52920;85920;181920},0),2)</f>
        <v>0</v>
      </c>
      <c r="AF14" s="95">
        <f>IFERROR(VLOOKUP(E:E,'（居民）工资表-3月'!E:AF,28,0)+VLOOKUP(E:E,'（居民）工资表-3月'!E:AG,29,0),0)</f>
        <v>0</v>
      </c>
      <c r="AG14" s="95">
        <f t="shared" si="7"/>
        <v>0</v>
      </c>
      <c r="AH14" s="102">
        <f t="shared" si="8"/>
        <v>0</v>
      </c>
      <c r="AI14" s="103"/>
      <c r="AJ14" s="102">
        <f t="shared" si="9"/>
        <v>0</v>
      </c>
      <c r="AK14" s="104"/>
      <c r="AL14" s="102">
        <f t="shared" si="10"/>
        <v>0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未填写身份证号码</v>
      </c>
      <c r="AS14" s="111" t="str">
        <f t="shared" si="2"/>
        <v>重复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108</v>
      </c>
      <c r="C15" s="37"/>
      <c r="D15" s="37" t="s">
        <v>52</v>
      </c>
      <c r="E15" s="37"/>
      <c r="F15" s="38" t="e">
        <f t="shared" si="0"/>
        <v>#VALUE!</v>
      </c>
      <c r="G15" s="39"/>
      <c r="H15" s="40"/>
      <c r="I15" s="40"/>
      <c r="J15" s="69"/>
      <c r="K15" s="40"/>
      <c r="L15" s="70"/>
      <c r="M15" s="71"/>
      <c r="N15" s="71"/>
      <c r="O15" s="71"/>
      <c r="P15" s="71"/>
      <c r="Q15" s="89">
        <f t="shared" si="4"/>
        <v>0</v>
      </c>
      <c r="R15" s="70">
        <v>0</v>
      </c>
      <c r="S15" s="90">
        <f>L15+IFERROR(VLOOKUP($E:$E,'（居民）工资表-3月'!$E:$S,15,0),0)</f>
        <v>0</v>
      </c>
      <c r="T15" s="91">
        <f>5000+IFERROR(VLOOKUP($E:$E,'（居民）工资表-3月'!$E:$T,16,0),0)</f>
        <v>5000</v>
      </c>
      <c r="U15" s="91">
        <f>Q15+IFERROR(VLOOKUP($E:$E,'（居民）工资表-3月'!$E:$U,17,0),0)</f>
        <v>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R15+IFERROR(VLOOKUP($E:$E,'（居民）工资表-3月'!$E:$AC,25,0),0)</f>
        <v>0</v>
      </c>
      <c r="AD15" s="93">
        <f t="shared" si="6"/>
        <v>-5000</v>
      </c>
      <c r="AE15" s="94">
        <f>ROUND(MAX((AD15)*{0.03;0.1;0.2;0.25;0.3;0.35;0.45}-{0;2520;16920;31920;52920;85920;181920},0),2)</f>
        <v>0</v>
      </c>
      <c r="AF15" s="95">
        <f>IFERROR(VLOOKUP(E:E,'（居民）工资表-3月'!E:AF,28,0)+VLOOKUP(E:E,'（居民）工资表-3月'!E:AG,29,0),0)</f>
        <v>0</v>
      </c>
      <c r="AG15" s="95">
        <f t="shared" si="7"/>
        <v>0</v>
      </c>
      <c r="AH15" s="102">
        <f t="shared" si="8"/>
        <v>0</v>
      </c>
      <c r="AI15" s="103"/>
      <c r="AJ15" s="102">
        <f t="shared" si="9"/>
        <v>0</v>
      </c>
      <c r="AK15" s="104"/>
      <c r="AL15" s="102">
        <f t="shared" si="10"/>
        <v>0</v>
      </c>
      <c r="AM15" s="104"/>
      <c r="AN15" s="104"/>
      <c r="AO15" s="104"/>
      <c r="AP15" s="104"/>
      <c r="AQ15" s="104"/>
      <c r="AR15" s="111" t="str">
        <f t="shared" si="11"/>
        <v>未填写身份证号码</v>
      </c>
      <c r="AS15" s="111" t="str">
        <f t="shared" si="2"/>
        <v>重复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108</v>
      </c>
      <c r="C16" s="37"/>
      <c r="D16" s="37" t="s">
        <v>52</v>
      </c>
      <c r="E16" s="37"/>
      <c r="F16" s="38" t="e">
        <f t="shared" si="0"/>
        <v>#VALUE!</v>
      </c>
      <c r="G16" s="39"/>
      <c r="H16" s="40"/>
      <c r="I16" s="40"/>
      <c r="J16" s="69"/>
      <c r="K16" s="40"/>
      <c r="L16" s="70"/>
      <c r="M16" s="71"/>
      <c r="N16" s="71"/>
      <c r="O16" s="71"/>
      <c r="P16" s="71"/>
      <c r="Q16" s="89">
        <f t="shared" si="4"/>
        <v>0</v>
      </c>
      <c r="R16" s="70">
        <v>0</v>
      </c>
      <c r="S16" s="90">
        <f>L16+IFERROR(VLOOKUP($E:$E,'（居民）工资表-3月'!$E:$S,15,0),0)</f>
        <v>0</v>
      </c>
      <c r="T16" s="91">
        <f>5000+IFERROR(VLOOKUP($E:$E,'（居民）工资表-3月'!$E:$T,16,0),0)</f>
        <v>5000</v>
      </c>
      <c r="U16" s="91">
        <f>Q16+IFERROR(VLOOKUP($E:$E,'（居民）工资表-3月'!$E:$U,17,0),0)</f>
        <v>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R16+IFERROR(VLOOKUP($E:$E,'（居民）工资表-3月'!$E:$AC,25,0),0)</f>
        <v>0</v>
      </c>
      <c r="AD16" s="93">
        <f t="shared" si="6"/>
        <v>-5000</v>
      </c>
      <c r="AE16" s="94">
        <f>ROUND(MAX((AD16)*{0.03;0.1;0.2;0.25;0.3;0.35;0.45}-{0;2520;16920;31920;52920;85920;181920},0),2)</f>
        <v>0</v>
      </c>
      <c r="AF16" s="95">
        <f>IFERROR(VLOOKUP(E:E,'（居民）工资表-3月'!E:AF,28,0)+VLOOKUP(E:E,'（居民）工资表-3月'!E:AG,29,0),0)</f>
        <v>0</v>
      </c>
      <c r="AG16" s="95">
        <f t="shared" si="7"/>
        <v>0</v>
      </c>
      <c r="AH16" s="102">
        <f t="shared" si="8"/>
        <v>0</v>
      </c>
      <c r="AI16" s="103"/>
      <c r="AJ16" s="102">
        <f t="shared" si="9"/>
        <v>0</v>
      </c>
      <c r="AK16" s="104"/>
      <c r="AL16" s="102">
        <f t="shared" si="10"/>
        <v>0</v>
      </c>
      <c r="AM16" s="104"/>
      <c r="AN16" s="104"/>
      <c r="AO16" s="104"/>
      <c r="AP16" s="104"/>
      <c r="AQ16" s="104"/>
      <c r="AR16" s="111" t="str">
        <f t="shared" si="11"/>
        <v>未填写身份证号码</v>
      </c>
      <c r="AS16" s="111" t="str">
        <f t="shared" si="2"/>
        <v>重复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108</v>
      </c>
      <c r="C17" s="37"/>
      <c r="D17" s="37" t="s">
        <v>52</v>
      </c>
      <c r="E17" s="37"/>
      <c r="F17" s="38" t="e">
        <f t="shared" si="0"/>
        <v>#VALUE!</v>
      </c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>
        <f t="shared" si="4"/>
        <v>0</v>
      </c>
      <c r="R17" s="70">
        <v>0</v>
      </c>
      <c r="S17" s="90">
        <f>L17+IFERROR(VLOOKUP($E:$E,'（居民）工资表-3月'!$E:$S,15,0),0)</f>
        <v>0</v>
      </c>
      <c r="T17" s="91">
        <f>5000+IFERROR(VLOOKUP($E:$E,'（居民）工资表-3月'!$E:$T,16,0),0)</f>
        <v>5000</v>
      </c>
      <c r="U17" s="91">
        <f>Q17+IFERROR(VLOOKUP($E:$E,'（居民）工资表-3月'!$E:$U,17,0),0)</f>
        <v>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R17+IFERROR(VLOOKUP($E:$E,'（居民）工资表-3月'!$E:$AC,25,0),0)</f>
        <v>0</v>
      </c>
      <c r="AD17" s="93">
        <f t="shared" si="6"/>
        <v>-5000</v>
      </c>
      <c r="AE17" s="94">
        <f>ROUND(MAX((AD17)*{0.03;0.1;0.2;0.25;0.3;0.35;0.45}-{0;2520;16920;31920;52920;85920;181920},0),2)</f>
        <v>0</v>
      </c>
      <c r="AF17" s="95">
        <f>IFERROR(VLOOKUP(E:E,'（居民）工资表-3月'!E:AF,28,0)+VLOOKUP(E:E,'（居民）工资表-3月'!E:AG,29,0),0)</f>
        <v>0</v>
      </c>
      <c r="AG17" s="95">
        <f t="shared" si="7"/>
        <v>0</v>
      </c>
      <c r="AH17" s="102">
        <f t="shared" si="8"/>
        <v>0</v>
      </c>
      <c r="AI17" s="103"/>
      <c r="AJ17" s="102">
        <f t="shared" si="9"/>
        <v>0</v>
      </c>
      <c r="AK17" s="104"/>
      <c r="AL17" s="102">
        <f t="shared" si="10"/>
        <v>0</v>
      </c>
      <c r="AM17" s="104"/>
      <c r="AN17" s="104"/>
      <c r="AO17" s="104"/>
      <c r="AP17" s="104"/>
      <c r="AQ17" s="104"/>
      <c r="AR17" s="111" t="str">
        <f t="shared" si="11"/>
        <v>未填写身份证号码</v>
      </c>
      <c r="AS17" s="111" t="str">
        <f t="shared" si="2"/>
        <v>重复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108</v>
      </c>
      <c r="C18" s="37"/>
      <c r="D18" s="37" t="s">
        <v>52</v>
      </c>
      <c r="E18" s="37"/>
      <c r="F18" s="38" t="e">
        <f t="shared" si="0"/>
        <v>#VALUE!</v>
      </c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>
        <f t="shared" si="4"/>
        <v>0</v>
      </c>
      <c r="R18" s="70">
        <v>0</v>
      </c>
      <c r="S18" s="90">
        <f>L18+IFERROR(VLOOKUP($E:$E,'（居民）工资表-3月'!$E:$S,15,0),0)</f>
        <v>0</v>
      </c>
      <c r="T18" s="91">
        <f>5000+IFERROR(VLOOKUP($E:$E,'（居民）工资表-3月'!$E:$T,16,0),0)</f>
        <v>5000</v>
      </c>
      <c r="U18" s="91">
        <f>Q18+IFERROR(VLOOKUP($E:$E,'（居民）工资表-3月'!$E:$U,17,0),0)</f>
        <v>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R18+IFERROR(VLOOKUP($E:$E,'（居民）工资表-3月'!$E:$AC,25,0),0)</f>
        <v>0</v>
      </c>
      <c r="AD18" s="93">
        <f t="shared" si="6"/>
        <v>-5000</v>
      </c>
      <c r="AE18" s="94">
        <f>ROUND(MAX((AD18)*{0.03;0.1;0.2;0.25;0.3;0.35;0.45}-{0;2520;16920;31920;52920;85920;181920},0),2)</f>
        <v>0</v>
      </c>
      <c r="AF18" s="95">
        <f>IFERROR(VLOOKUP(E:E,'（居民）工资表-3月'!E:AF,28,0)+VLOOKUP(E:E,'（居民）工资表-3月'!E:AG,29,0),0)</f>
        <v>0</v>
      </c>
      <c r="AG18" s="95">
        <f t="shared" si="7"/>
        <v>0</v>
      </c>
      <c r="AH18" s="102">
        <f t="shared" si="8"/>
        <v>0</v>
      </c>
      <c r="AI18" s="103"/>
      <c r="AJ18" s="102">
        <f t="shared" si="9"/>
        <v>0</v>
      </c>
      <c r="AK18" s="104"/>
      <c r="AL18" s="102">
        <f t="shared" si="10"/>
        <v>0</v>
      </c>
      <c r="AM18" s="104"/>
      <c r="AN18" s="104"/>
      <c r="AO18" s="104"/>
      <c r="AP18" s="104"/>
      <c r="AQ18" s="104"/>
      <c r="AR18" s="111" t="str">
        <f t="shared" si="11"/>
        <v>未填写身份证号码</v>
      </c>
      <c r="AS18" s="111" t="str">
        <f t="shared" si="2"/>
        <v>重复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108</v>
      </c>
      <c r="C19" s="37"/>
      <c r="D19" s="37" t="s">
        <v>52</v>
      </c>
      <c r="E19" s="37"/>
      <c r="F19" s="38" t="e">
        <f t="shared" si="0"/>
        <v>#VALUE!</v>
      </c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>
        <f t="shared" si="4"/>
        <v>0</v>
      </c>
      <c r="R19" s="70">
        <v>0</v>
      </c>
      <c r="S19" s="90">
        <f>L19+IFERROR(VLOOKUP($E:$E,'（居民）工资表-3月'!$E:$S,15,0),0)</f>
        <v>0</v>
      </c>
      <c r="T19" s="91">
        <f>5000+IFERROR(VLOOKUP($E:$E,'（居民）工资表-3月'!$E:$T,16,0),0)</f>
        <v>5000</v>
      </c>
      <c r="U19" s="91">
        <f>Q19+IFERROR(VLOOKUP($E:$E,'（居民）工资表-3月'!$E:$U,17,0),0)</f>
        <v>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R19+IFERROR(VLOOKUP($E:$E,'（居民）工资表-3月'!$E:$AC,25,0),0)</f>
        <v>0</v>
      </c>
      <c r="AD19" s="93">
        <f t="shared" si="6"/>
        <v>-5000</v>
      </c>
      <c r="AE19" s="94">
        <f>ROUND(MAX((AD19)*{0.03;0.1;0.2;0.25;0.3;0.35;0.45}-{0;2520;16920;31920;52920;85920;181920},0),2)</f>
        <v>0</v>
      </c>
      <c r="AF19" s="95">
        <f>IFERROR(VLOOKUP(E:E,'（居民）工资表-3月'!E:AF,28,0)+VLOOKUP(E:E,'（居民）工资表-3月'!E:AG,29,0),0)</f>
        <v>0</v>
      </c>
      <c r="AG19" s="95">
        <f t="shared" si="7"/>
        <v>0</v>
      </c>
      <c r="AH19" s="102">
        <f t="shared" si="8"/>
        <v>0</v>
      </c>
      <c r="AI19" s="103"/>
      <c r="AJ19" s="102">
        <f t="shared" si="9"/>
        <v>0</v>
      </c>
      <c r="AK19" s="104"/>
      <c r="AL19" s="102">
        <f t="shared" si="10"/>
        <v>0</v>
      </c>
      <c r="AM19" s="104"/>
      <c r="AN19" s="104"/>
      <c r="AO19" s="104"/>
      <c r="AP19" s="104"/>
      <c r="AQ19" s="104"/>
      <c r="AR19" s="111" t="str">
        <f t="shared" si="11"/>
        <v>未填写身份证号码</v>
      </c>
      <c r="AS19" s="111" t="str">
        <f t="shared" si="2"/>
        <v>重复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108</v>
      </c>
      <c r="C20" s="37"/>
      <c r="D20" s="37" t="s">
        <v>52</v>
      </c>
      <c r="E20" s="37"/>
      <c r="F20" s="38" t="e">
        <f t="shared" si="0"/>
        <v>#VALUE!</v>
      </c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>
        <f t="shared" si="4"/>
        <v>0</v>
      </c>
      <c r="R20" s="70">
        <v>0</v>
      </c>
      <c r="S20" s="90">
        <f>L20+IFERROR(VLOOKUP($E:$E,'（居民）工资表-3月'!$E:$S,15,0),0)</f>
        <v>0</v>
      </c>
      <c r="T20" s="91">
        <f>5000+IFERROR(VLOOKUP($E:$E,'（居民）工资表-3月'!$E:$T,16,0),0)</f>
        <v>5000</v>
      </c>
      <c r="U20" s="91">
        <f>Q20+IFERROR(VLOOKUP($E:$E,'（居民）工资表-3月'!$E:$U,17,0),0)</f>
        <v>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R20+IFERROR(VLOOKUP($E:$E,'（居民）工资表-3月'!$E:$AC,25,0),0)</f>
        <v>0</v>
      </c>
      <c r="AD20" s="93">
        <f t="shared" si="6"/>
        <v>-5000</v>
      </c>
      <c r="AE20" s="94">
        <f>ROUND(MAX((AD20)*{0.03;0.1;0.2;0.25;0.3;0.35;0.45}-{0;2520;16920;31920;52920;85920;181920},0),2)</f>
        <v>0</v>
      </c>
      <c r="AF20" s="95">
        <f>IFERROR(VLOOKUP(E:E,'（居民）工资表-3月'!E:AF,28,0)+VLOOKUP(E:E,'（居民）工资表-3月'!E:AG,29,0),0)</f>
        <v>0</v>
      </c>
      <c r="AG20" s="95">
        <f t="shared" si="7"/>
        <v>0</v>
      </c>
      <c r="AH20" s="102">
        <f t="shared" si="8"/>
        <v>0</v>
      </c>
      <c r="AI20" s="103"/>
      <c r="AJ20" s="102">
        <f t="shared" si="9"/>
        <v>0</v>
      </c>
      <c r="AK20" s="104"/>
      <c r="AL20" s="102">
        <f t="shared" si="10"/>
        <v>0</v>
      </c>
      <c r="AM20" s="104"/>
      <c r="AN20" s="104"/>
      <c r="AO20" s="104"/>
      <c r="AP20" s="104"/>
      <c r="AQ20" s="104"/>
      <c r="AR20" s="111" t="str">
        <f t="shared" si="11"/>
        <v>未填写身份证号码</v>
      </c>
      <c r="AS20" s="111" t="str">
        <f t="shared" si="2"/>
        <v>重复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108</v>
      </c>
      <c r="C21" s="37"/>
      <c r="D21" s="37" t="s">
        <v>52</v>
      </c>
      <c r="E21" s="37"/>
      <c r="F21" s="38" t="e">
        <f t="shared" si="0"/>
        <v>#VALUE!</v>
      </c>
      <c r="G21" s="39"/>
      <c r="H21" s="40"/>
      <c r="I21" s="40"/>
      <c r="J21" s="69"/>
      <c r="K21" s="40"/>
      <c r="L21" s="70"/>
      <c r="M21" s="71"/>
      <c r="N21" s="71"/>
      <c r="O21" s="71"/>
      <c r="P21" s="71"/>
      <c r="Q21" s="89">
        <f t="shared" si="4"/>
        <v>0</v>
      </c>
      <c r="R21" s="70">
        <v>0</v>
      </c>
      <c r="S21" s="90">
        <f>L21+IFERROR(VLOOKUP($E:$E,'（居民）工资表-3月'!$E:$S,15,0),0)</f>
        <v>0</v>
      </c>
      <c r="T21" s="91">
        <f>5000+IFERROR(VLOOKUP($E:$E,'（居民）工资表-3月'!$E:$T,16,0),0)</f>
        <v>5000</v>
      </c>
      <c r="U21" s="91">
        <f>Q21+IFERROR(VLOOKUP($E:$E,'（居民）工资表-3月'!$E:$U,17,0),0)</f>
        <v>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R21+IFERROR(VLOOKUP($E:$E,'（居民）工资表-3月'!$E:$AC,25,0),0)</f>
        <v>0</v>
      </c>
      <c r="AD21" s="93">
        <f t="shared" si="6"/>
        <v>-5000</v>
      </c>
      <c r="AE21" s="94">
        <f>ROUND(MAX((AD21)*{0.03;0.1;0.2;0.25;0.3;0.35;0.45}-{0;2520;16920;31920;52920;85920;181920},0),2)</f>
        <v>0</v>
      </c>
      <c r="AF21" s="95">
        <f>IFERROR(VLOOKUP(E:E,'（居民）工资表-3月'!E:AF,28,0)+VLOOKUP(E:E,'（居民）工资表-3月'!E:AG,29,0),0)</f>
        <v>0</v>
      </c>
      <c r="AG21" s="95">
        <f t="shared" si="7"/>
        <v>0</v>
      </c>
      <c r="AH21" s="102">
        <f t="shared" si="8"/>
        <v>0</v>
      </c>
      <c r="AI21" s="103"/>
      <c r="AJ21" s="102">
        <f t="shared" si="9"/>
        <v>0</v>
      </c>
      <c r="AK21" s="104"/>
      <c r="AL21" s="102">
        <f t="shared" si="10"/>
        <v>0</v>
      </c>
      <c r="AM21" s="104"/>
      <c r="AN21" s="104"/>
      <c r="AO21" s="104"/>
      <c r="AP21" s="104"/>
      <c r="AQ21" s="104"/>
      <c r="AR21" s="111" t="str">
        <f t="shared" si="11"/>
        <v>未填写身份证号码</v>
      </c>
      <c r="AS21" s="111" t="str">
        <f t="shared" si="2"/>
        <v>重复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108</v>
      </c>
      <c r="C22" s="37"/>
      <c r="D22" s="37" t="s">
        <v>52</v>
      </c>
      <c r="E22" s="37"/>
      <c r="F22" s="38" t="e">
        <f t="shared" si="0"/>
        <v>#VALUE!</v>
      </c>
      <c r="G22" s="39"/>
      <c r="H22" s="40"/>
      <c r="I22" s="40"/>
      <c r="J22" s="69"/>
      <c r="K22" s="40"/>
      <c r="L22" s="70"/>
      <c r="M22" s="71"/>
      <c r="N22" s="71"/>
      <c r="O22" s="71"/>
      <c r="P22" s="71"/>
      <c r="Q22" s="89">
        <f t="shared" si="4"/>
        <v>0</v>
      </c>
      <c r="R22" s="70">
        <v>0</v>
      </c>
      <c r="S22" s="90">
        <f>L22+IFERROR(VLOOKUP($E:$E,'（居民）工资表-3月'!$E:$S,15,0),0)</f>
        <v>0</v>
      </c>
      <c r="T22" s="91">
        <f>5000+IFERROR(VLOOKUP($E:$E,'（居民）工资表-3月'!$E:$T,16,0),0)</f>
        <v>5000</v>
      </c>
      <c r="U22" s="91">
        <f>Q22+IFERROR(VLOOKUP($E:$E,'（居民）工资表-3月'!$E:$U,17,0),0)</f>
        <v>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R22+IFERROR(VLOOKUP($E:$E,'（居民）工资表-3月'!$E:$AC,25,0),0)</f>
        <v>0</v>
      </c>
      <c r="AD22" s="93">
        <f t="shared" si="6"/>
        <v>-5000</v>
      </c>
      <c r="AE22" s="94">
        <f>ROUND(MAX((AD22)*{0.03;0.1;0.2;0.25;0.3;0.35;0.45}-{0;2520;16920;31920;52920;85920;181920},0),2)</f>
        <v>0</v>
      </c>
      <c r="AF22" s="95">
        <f>IFERROR(VLOOKUP(E:E,'（居民）工资表-3月'!E:AF,28,0)+VLOOKUP(E:E,'（居民）工资表-3月'!E:AG,29,0),0)</f>
        <v>0</v>
      </c>
      <c r="AG22" s="95">
        <f t="shared" si="7"/>
        <v>0</v>
      </c>
      <c r="AH22" s="102">
        <f t="shared" si="8"/>
        <v>0</v>
      </c>
      <c r="AI22" s="103"/>
      <c r="AJ22" s="102">
        <f t="shared" si="9"/>
        <v>0</v>
      </c>
      <c r="AK22" s="104"/>
      <c r="AL22" s="102">
        <f t="shared" si="10"/>
        <v>0</v>
      </c>
      <c r="AM22" s="104"/>
      <c r="AN22" s="104"/>
      <c r="AO22" s="104"/>
      <c r="AP22" s="104"/>
      <c r="AQ22" s="104"/>
      <c r="AR22" s="111" t="str">
        <f t="shared" si="11"/>
        <v>未填写身份证号码</v>
      </c>
      <c r="AS22" s="111" t="str">
        <f t="shared" si="2"/>
        <v>重复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108</v>
      </c>
      <c r="C23" s="37"/>
      <c r="D23" s="37" t="s">
        <v>52</v>
      </c>
      <c r="E23" s="37"/>
      <c r="F23" s="38" t="e">
        <f t="shared" si="0"/>
        <v>#VALUE!</v>
      </c>
      <c r="G23" s="39"/>
      <c r="H23" s="40"/>
      <c r="I23" s="40"/>
      <c r="J23" s="69"/>
      <c r="K23" s="40"/>
      <c r="L23" s="70"/>
      <c r="M23" s="71"/>
      <c r="N23" s="71"/>
      <c r="O23" s="71"/>
      <c r="P23" s="71"/>
      <c r="Q23" s="89">
        <f t="shared" si="4"/>
        <v>0</v>
      </c>
      <c r="R23" s="70">
        <v>0</v>
      </c>
      <c r="S23" s="90">
        <f>L23+IFERROR(VLOOKUP($E:$E,'（居民）工资表-3月'!$E:$S,15,0),0)</f>
        <v>0</v>
      </c>
      <c r="T23" s="91">
        <f>5000+IFERROR(VLOOKUP($E:$E,'（居民）工资表-3月'!$E:$T,16,0),0)</f>
        <v>5000</v>
      </c>
      <c r="U23" s="91">
        <f>Q23+IFERROR(VLOOKUP($E:$E,'（居民）工资表-3月'!$E:$U,17,0),0)</f>
        <v>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R23+IFERROR(VLOOKUP($E:$E,'（居民）工资表-3月'!$E:$AC,25,0),0)</f>
        <v>0</v>
      </c>
      <c r="AD23" s="93">
        <f t="shared" si="6"/>
        <v>-5000</v>
      </c>
      <c r="AE23" s="94">
        <f>ROUND(MAX((AD23)*{0.03;0.1;0.2;0.25;0.3;0.35;0.45}-{0;2520;16920;31920;52920;85920;181920},0),2)</f>
        <v>0</v>
      </c>
      <c r="AF23" s="95">
        <f>IFERROR(VLOOKUP(E:E,'（居民）工资表-3月'!E:AF,28,0)+VLOOKUP(E:E,'（居民）工资表-3月'!E:AG,29,0),0)</f>
        <v>0</v>
      </c>
      <c r="AG23" s="95">
        <f t="shared" si="7"/>
        <v>0</v>
      </c>
      <c r="AH23" s="102">
        <f t="shared" si="8"/>
        <v>0</v>
      </c>
      <c r="AI23" s="103"/>
      <c r="AJ23" s="102">
        <f t="shared" si="9"/>
        <v>0</v>
      </c>
      <c r="AK23" s="104"/>
      <c r="AL23" s="102">
        <f t="shared" si="10"/>
        <v>0</v>
      </c>
      <c r="AM23" s="104"/>
      <c r="AN23" s="104"/>
      <c r="AO23" s="104"/>
      <c r="AP23" s="104"/>
      <c r="AQ23" s="104"/>
      <c r="AR23" s="111" t="str">
        <f t="shared" si="11"/>
        <v>未填写身份证号码</v>
      </c>
      <c r="AS23" s="111" t="str">
        <f t="shared" si="2"/>
        <v>重复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18333.33</v>
      </c>
      <c r="M24" s="74">
        <f t="shared" si="12"/>
        <v>0</v>
      </c>
      <c r="N24" s="74">
        <f t="shared" si="12"/>
        <v>0</v>
      </c>
      <c r="O24" s="74">
        <f t="shared" si="12"/>
        <v>0</v>
      </c>
      <c r="P24" s="74">
        <f t="shared" si="12"/>
        <v>0</v>
      </c>
      <c r="Q24" s="74">
        <f t="shared" si="12"/>
        <v>0</v>
      </c>
      <c r="R24" s="74">
        <f t="shared" si="12"/>
        <v>0</v>
      </c>
      <c r="S24" s="74">
        <f t="shared" si="12"/>
        <v>18333.33</v>
      </c>
      <c r="T24" s="74">
        <f t="shared" si="12"/>
        <v>100000</v>
      </c>
      <c r="U24" s="74">
        <f t="shared" si="12"/>
        <v>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-81666.67</v>
      </c>
      <c r="AE24" s="74">
        <f t="shared" si="12"/>
        <v>400</v>
      </c>
      <c r="AF24" s="74">
        <f t="shared" si="12"/>
        <v>0</v>
      </c>
      <c r="AG24" s="74">
        <f t="shared" si="12"/>
        <v>400</v>
      </c>
      <c r="AH24" s="74">
        <f t="shared" si="12"/>
        <v>17933.33</v>
      </c>
      <c r="AI24" s="105">
        <f t="shared" si="12"/>
        <v>0</v>
      </c>
      <c r="AJ24" s="74">
        <f t="shared" si="12"/>
        <v>17933.33</v>
      </c>
      <c r="AK24" s="74">
        <f t="shared" si="12"/>
        <v>0</v>
      </c>
      <c r="AL24" s="74">
        <f t="shared" si="12"/>
        <v>18333.33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3">
      <c r="B28" s="47" t="s">
        <v>29</v>
      </c>
      <c r="C28" s="47" t="s">
        <v>60</v>
      </c>
      <c r="D28" s="47" t="s">
        <v>30</v>
      </c>
      <c r="E28" s="47" t="s">
        <v>61</v>
      </c>
      <c r="AD28" s="10"/>
      <c r="AG28" s="113"/>
    </row>
    <row r="29" ht="18.75" customHeight="1" spans="2:5">
      <c r="B29" s="48">
        <f>AJ24</f>
        <v>17933.33</v>
      </c>
      <c r="C29" s="48">
        <f>AG24</f>
        <v>400</v>
      </c>
      <c r="D29" s="48">
        <f>AK24</f>
        <v>0</v>
      </c>
      <c r="E29" s="48">
        <f>B29+C29+D29</f>
        <v>18333.33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108</v>
      </c>
      <c r="C4" s="37"/>
      <c r="D4" s="37" t="s">
        <v>52</v>
      </c>
      <c r="E4" s="37" t="s">
        <v>110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L4+IFERROR(VLOOKUP($E:$E,'（居民）工资表-4月'!$E:$S,15,0),0)</f>
        <v>3000</v>
      </c>
      <c r="T4" s="91">
        <f>5000+IFERROR(VLOOKUP($E:$E,'（居民）工资表-4月'!$E:$T,16,0),0)</f>
        <v>5000</v>
      </c>
      <c r="U4" s="91">
        <f>Q4+IFERROR(VLOOKUP($E:$E,'（居民）工资表-4月'!$E:$U,17,0),0)</f>
        <v>525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R4+IFERROR(VLOOKUP($E:$E,'（居民）工资表-4月'!$E:$AC,25,0),0)</f>
        <v>0</v>
      </c>
      <c r="AD4" s="93">
        <f>ROUND(S4-T4-U4-AB4-AC4,2)</f>
        <v>-2525</v>
      </c>
      <c r="AE4" s="94">
        <f>ROUND(MAX((AD4)*{0.03;0.1;0.2;0.25;0.3;0.35;0.45}-{0;2520;16920;31920;52920;85920;181920},0),2)</f>
        <v>0</v>
      </c>
      <c r="AF4" s="95">
        <f>IFERROR(VLOOKUP(E:E,'（居民）工资表-4月'!E:AF,28,0)+VLOOKUP(E:E,'（居民）工资表-4月'!E:AG,29,0),0)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108</v>
      </c>
      <c r="C5" s="37"/>
      <c r="D5" s="37" t="s">
        <v>52</v>
      </c>
      <c r="E5" s="37" t="s">
        <v>111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L5+IFERROR(VLOOKUP($E:$E,'（居民）工资表-4月'!$E:$S,15,0),0)</f>
        <v>4000</v>
      </c>
      <c r="T5" s="91">
        <f>5000+IFERROR(VLOOKUP($E:$E,'（居民）工资表-4月'!$E:$T,16,0),0)</f>
        <v>5000</v>
      </c>
      <c r="U5" s="91">
        <f>Q5+IFERROR(VLOOKUP($E:$E,'（居民）工资表-4月'!$E:$U,17,0),0)</f>
        <v>700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R5+IFERROR(VLOOKUP($E:$E,'（居民）工资表-4月'!$E:$AC,25,0),0)</f>
        <v>0</v>
      </c>
      <c r="AD5" s="93">
        <f t="shared" ref="AD5:AD23" si="6">ROUND(S5-T5-U5-AB5-AC5,2)</f>
        <v>-1700</v>
      </c>
      <c r="AE5" s="94">
        <f>ROUND(MAX((AD5)*{0.03;0.1;0.2;0.25;0.3;0.35;0.45}-{0;2520;16920;31920;52920;85920;181920},0),2)</f>
        <v>0</v>
      </c>
      <c r="AF5" s="95">
        <f>IFERROR(VLOOKUP(E:E,'（居民）工资表-4月'!E:AF,28,0)+VLOOKUP(E:E,'（居民）工资表-4月'!E:AG,29,0),0)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108</v>
      </c>
      <c r="C6" s="37"/>
      <c r="D6" s="37" t="s">
        <v>52</v>
      </c>
      <c r="E6" s="37" t="s">
        <v>112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L6+IFERROR(VLOOKUP($E:$E,'（居民）工资表-4月'!$E:$S,15,0),0)</f>
        <v>5000</v>
      </c>
      <c r="T6" s="91">
        <f>5000+IFERROR(VLOOKUP($E:$E,'（居民）工资表-4月'!$E:$T,16,0),0)</f>
        <v>5000</v>
      </c>
      <c r="U6" s="91">
        <f>Q6+IFERROR(VLOOKUP($E:$E,'（居民）工资表-4月'!$E:$U,17,0),0)</f>
        <v>875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R6+IFERROR(VLOOKUP($E:$E,'（居民）工资表-4月'!$E:$AC,25,0),0)</f>
        <v>0</v>
      </c>
      <c r="AD6" s="93">
        <f t="shared" si="6"/>
        <v>-875</v>
      </c>
      <c r="AE6" s="94">
        <f>ROUND(MAX((AD6)*{0.03;0.1;0.2;0.25;0.3;0.35;0.45}-{0;2520;16920;31920;52920;85920;181920},0),2)</f>
        <v>0</v>
      </c>
      <c r="AF6" s="95">
        <f>IFERROR(VLOOKUP(E:E,'（居民）工资表-4月'!E:AF,28,0)+VLOOKUP(E:E,'（居民）工资表-4月'!E:AG,29,0),0)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108</v>
      </c>
      <c r="C7" s="37"/>
      <c r="D7" s="37" t="s">
        <v>52</v>
      </c>
      <c r="E7" s="37" t="s">
        <v>113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L7+IFERROR(VLOOKUP($E:$E,'（居民）工资表-4月'!$E:$S,15,0),0)</f>
        <v>6000</v>
      </c>
      <c r="T7" s="91">
        <f>5000+IFERROR(VLOOKUP($E:$E,'（居民）工资表-4月'!$E:$T,16,0),0)</f>
        <v>5000</v>
      </c>
      <c r="U7" s="91">
        <f>Q7+IFERROR(VLOOKUP($E:$E,'（居民）工资表-4月'!$E:$U,17,0),0)</f>
        <v>1050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R7+IFERROR(VLOOKUP($E:$E,'（居民）工资表-4月'!$E:$AC,25,0),0)</f>
        <v>0</v>
      </c>
      <c r="AD7" s="93">
        <f t="shared" si="6"/>
        <v>-50</v>
      </c>
      <c r="AE7" s="94">
        <f>ROUND(MAX((AD7)*{0.03;0.1;0.2;0.25;0.3;0.35;0.45}-{0;2520;16920;31920;52920;85920;181920},0),2)</f>
        <v>0</v>
      </c>
      <c r="AF7" s="95">
        <f>IFERROR(VLOOKUP(E:E,'（居民）工资表-4月'!E:AF,28,0)+VLOOKUP(E:E,'（居民）工资表-4月'!E:AG,29,0),0)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108</v>
      </c>
      <c r="C8" s="37"/>
      <c r="D8" s="37" t="s">
        <v>52</v>
      </c>
      <c r="E8" s="37" t="s">
        <v>114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L8+IFERROR(VLOOKUP($E:$E,'（居民）工资表-4月'!$E:$S,15,0),0)</f>
        <v>7000</v>
      </c>
      <c r="T8" s="91">
        <f>5000+IFERROR(VLOOKUP($E:$E,'（居民）工资表-4月'!$E:$T,16,0),0)</f>
        <v>5000</v>
      </c>
      <c r="U8" s="91">
        <f>Q8+IFERROR(VLOOKUP($E:$E,'（居民）工资表-4月'!$E:$U,17,0),0)</f>
        <v>1225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R8+IFERROR(VLOOKUP($E:$E,'（居民）工资表-4月'!$E:$AC,25,0),0)</f>
        <v>0</v>
      </c>
      <c r="AD8" s="93">
        <f t="shared" si="6"/>
        <v>775</v>
      </c>
      <c r="AE8" s="94">
        <f>ROUND(MAX((AD8)*{0.03;0.1;0.2;0.25;0.3;0.35;0.45}-{0;2520;16920;31920;52920;85920;181920},0),2)</f>
        <v>23.25</v>
      </c>
      <c r="AF8" s="95">
        <f>IFERROR(VLOOKUP(E:E,'（居民）工资表-4月'!E:AF,28,0)+VLOOKUP(E:E,'（居民）工资表-4月'!E:AG,29,0),0)</f>
        <v>0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108</v>
      </c>
      <c r="C9" s="37"/>
      <c r="D9" s="37" t="s">
        <v>52</v>
      </c>
      <c r="E9" s="37" t="s">
        <v>115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L9+IFERROR(VLOOKUP($E:$E,'（居民）工资表-4月'!$E:$S,15,0),0)</f>
        <v>8000</v>
      </c>
      <c r="T9" s="91">
        <f>5000+IFERROR(VLOOKUP($E:$E,'（居民）工资表-4月'!$E:$T,16,0),0)</f>
        <v>5000</v>
      </c>
      <c r="U9" s="91">
        <f>Q9+IFERROR(VLOOKUP($E:$E,'（居民）工资表-4月'!$E:$U,17,0),0)</f>
        <v>1400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R9+IFERROR(VLOOKUP($E:$E,'（居民）工资表-4月'!$E:$AC,25,0),0)</f>
        <v>0</v>
      </c>
      <c r="AD9" s="93">
        <f t="shared" si="6"/>
        <v>1600</v>
      </c>
      <c r="AE9" s="94">
        <f>ROUND(MAX((AD9)*{0.03;0.1;0.2;0.25;0.3;0.35;0.45}-{0;2520;16920;31920;52920;85920;181920},0),2)</f>
        <v>48</v>
      </c>
      <c r="AF9" s="95">
        <f>IFERROR(VLOOKUP(E:E,'（居民）工资表-4月'!E:AF,28,0)+VLOOKUP(E:E,'（居民）工资表-4月'!E:AG,29,0),0)</f>
        <v>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108</v>
      </c>
      <c r="C10" s="37"/>
      <c r="D10" s="37" t="s">
        <v>52</v>
      </c>
      <c r="E10" s="37" t="s">
        <v>116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L10+IFERROR(VLOOKUP($E:$E,'（居民）工资表-4月'!$E:$S,15,0),0)</f>
        <v>9000</v>
      </c>
      <c r="T10" s="91">
        <f>5000+IFERROR(VLOOKUP($E:$E,'（居民）工资表-4月'!$E:$T,16,0),0)</f>
        <v>5000</v>
      </c>
      <c r="U10" s="91">
        <f>Q10+IFERROR(VLOOKUP($E:$E,'（居民）工资表-4月'!$E:$U,17,0),0)</f>
        <v>1575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R10+IFERROR(VLOOKUP($E:$E,'（居民）工资表-4月'!$E:$AC,25,0),0)</f>
        <v>0</v>
      </c>
      <c r="AD10" s="93">
        <f t="shared" si="6"/>
        <v>2425</v>
      </c>
      <c r="AE10" s="94">
        <f>ROUND(MAX((AD10)*{0.03;0.1;0.2;0.25;0.3;0.35;0.45}-{0;2520;16920;31920;52920;85920;181920},0),2)</f>
        <v>72.75</v>
      </c>
      <c r="AF10" s="95">
        <f>IFERROR(VLOOKUP(E:E,'（居民）工资表-4月'!E:AF,28,0)+VLOOKUP(E:E,'（居民）工资表-4月'!E:AG,29,0),0)</f>
        <v>0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108</v>
      </c>
      <c r="C11" s="37"/>
      <c r="D11" s="37" t="s">
        <v>52</v>
      </c>
      <c r="E11" s="37" t="s">
        <v>117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L11+IFERROR(VLOOKUP($E:$E,'（居民）工资表-4月'!$E:$S,15,0),0)</f>
        <v>10000</v>
      </c>
      <c r="T11" s="91">
        <f>5000+IFERROR(VLOOKUP($E:$E,'（居民）工资表-4月'!$E:$T,16,0),0)</f>
        <v>5000</v>
      </c>
      <c r="U11" s="91">
        <f>Q11+IFERROR(VLOOKUP($E:$E,'（居民）工资表-4月'!$E:$U,17,0),0)</f>
        <v>1750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R11+IFERROR(VLOOKUP($E:$E,'（居民）工资表-4月'!$E:$AC,25,0),0)</f>
        <v>0</v>
      </c>
      <c r="AD11" s="93">
        <f t="shared" si="6"/>
        <v>3250</v>
      </c>
      <c r="AE11" s="94">
        <f>ROUND(MAX((AD11)*{0.03;0.1;0.2;0.25;0.3;0.35;0.45}-{0;2520;16920;31920;52920;85920;181920},0),2)</f>
        <v>97.5</v>
      </c>
      <c r="AF11" s="95">
        <f>IFERROR(VLOOKUP(E:E,'（居民）工资表-4月'!E:AF,28,0)+VLOOKUP(E:E,'（居民）工资表-4月'!E:AG,29,0),0)</f>
        <v>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108</v>
      </c>
      <c r="C12" s="37"/>
      <c r="D12" s="37" t="s">
        <v>52</v>
      </c>
      <c r="E12" s="37" t="s">
        <v>118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L12+IFERROR(VLOOKUP($E:$E,'（居民）工资表-4月'!$E:$S,15,0),0)</f>
        <v>11000</v>
      </c>
      <c r="T12" s="91">
        <f>5000+IFERROR(VLOOKUP($E:$E,'（居民）工资表-4月'!$E:$T,16,0),0)</f>
        <v>5000</v>
      </c>
      <c r="U12" s="91">
        <f>Q12+IFERROR(VLOOKUP($E:$E,'（居民）工资表-4月'!$E:$U,17,0),0)</f>
        <v>1925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R12+IFERROR(VLOOKUP($E:$E,'（居民）工资表-4月'!$E:$AC,25,0),0)</f>
        <v>0</v>
      </c>
      <c r="AD12" s="93">
        <f t="shared" si="6"/>
        <v>4075</v>
      </c>
      <c r="AE12" s="94">
        <f>ROUND(MAX((AD12)*{0.03;0.1;0.2;0.25;0.3;0.35;0.45}-{0;2520;16920;31920;52920;85920;181920},0),2)</f>
        <v>122.25</v>
      </c>
      <c r="AF12" s="95">
        <f>IFERROR(VLOOKUP(E:E,'（居民）工资表-4月'!E:AF,28,0)+VLOOKUP(E:E,'（居民）工资表-4月'!E:AG,29,0),0)</f>
        <v>0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108</v>
      </c>
      <c r="C13" s="37"/>
      <c r="D13" s="37" t="s">
        <v>52</v>
      </c>
      <c r="E13" s="37" t="s">
        <v>119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L13+IFERROR(VLOOKUP($E:$E,'（居民）工资表-4月'!$E:$S,15,0),0)</f>
        <v>12000</v>
      </c>
      <c r="T13" s="91">
        <f>5000+IFERROR(VLOOKUP($E:$E,'（居民）工资表-4月'!$E:$T,16,0),0)</f>
        <v>5000</v>
      </c>
      <c r="U13" s="91">
        <f>Q13+IFERROR(VLOOKUP($E:$E,'（居民）工资表-4月'!$E:$U,17,0),0)</f>
        <v>2100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R13+IFERROR(VLOOKUP($E:$E,'（居民）工资表-4月'!$E:$AC,25,0),0)</f>
        <v>0</v>
      </c>
      <c r="AD13" s="93">
        <f t="shared" si="6"/>
        <v>4900</v>
      </c>
      <c r="AE13" s="94">
        <f>ROUND(MAX((AD13)*{0.03;0.1;0.2;0.25;0.3;0.35;0.45}-{0;2520;16920;31920;52920;85920;181920},0),2)</f>
        <v>147</v>
      </c>
      <c r="AF13" s="95">
        <f>IFERROR(VLOOKUP(E:E,'（居民）工资表-4月'!E:AF,28,0)+VLOOKUP(E:E,'（居民）工资表-4月'!E:AG,29,0),0)</f>
        <v>0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108</v>
      </c>
      <c r="C14" s="37"/>
      <c r="D14" s="37" t="s">
        <v>52</v>
      </c>
      <c r="E14" s="37" t="s">
        <v>120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L14+IFERROR(VLOOKUP($E:$E,'（居民）工资表-4月'!$E:$S,15,0),0)</f>
        <v>13000</v>
      </c>
      <c r="T14" s="91">
        <f>5000+IFERROR(VLOOKUP($E:$E,'（居民）工资表-4月'!$E:$T,16,0),0)</f>
        <v>5000</v>
      </c>
      <c r="U14" s="91">
        <f>Q14+IFERROR(VLOOKUP($E:$E,'（居民）工资表-4月'!$E:$U,17,0),0)</f>
        <v>2275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R14+IFERROR(VLOOKUP($E:$E,'（居民）工资表-4月'!$E:$AC,25,0),0)</f>
        <v>0</v>
      </c>
      <c r="AD14" s="93">
        <f t="shared" si="6"/>
        <v>5725</v>
      </c>
      <c r="AE14" s="94">
        <f>ROUND(MAX((AD14)*{0.03;0.1;0.2;0.25;0.3;0.35;0.45}-{0;2520;16920;31920;52920;85920;181920},0),2)</f>
        <v>171.75</v>
      </c>
      <c r="AF14" s="95">
        <f>IFERROR(VLOOKUP(E:E,'（居民）工资表-4月'!E:AF,28,0)+VLOOKUP(E:E,'（居民）工资表-4月'!E:AG,29,0),0)</f>
        <v>0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108</v>
      </c>
      <c r="C15" s="37"/>
      <c r="D15" s="37" t="s">
        <v>52</v>
      </c>
      <c r="E15" s="37" t="s">
        <v>121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L15+IFERROR(VLOOKUP($E:$E,'（居民）工资表-4月'!$E:$S,15,0),0)</f>
        <v>14000</v>
      </c>
      <c r="T15" s="91">
        <f>5000+IFERROR(VLOOKUP($E:$E,'（居民）工资表-4月'!$E:$T,16,0),0)</f>
        <v>5000</v>
      </c>
      <c r="U15" s="91">
        <f>Q15+IFERROR(VLOOKUP($E:$E,'（居民）工资表-4月'!$E:$U,17,0),0)</f>
        <v>2450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R15+IFERROR(VLOOKUP($E:$E,'（居民）工资表-4月'!$E:$AC,25,0),0)</f>
        <v>0</v>
      </c>
      <c r="AD15" s="93">
        <f t="shared" si="6"/>
        <v>6550</v>
      </c>
      <c r="AE15" s="94">
        <f>ROUND(MAX((AD15)*{0.03;0.1;0.2;0.25;0.3;0.35;0.45}-{0;2520;16920;31920;52920;85920;181920},0),2)</f>
        <v>196.5</v>
      </c>
      <c r="AF15" s="95">
        <f>IFERROR(VLOOKUP(E:E,'（居民）工资表-4月'!E:AF,28,0)+VLOOKUP(E:E,'（居民）工资表-4月'!E:AG,29,0),0)</f>
        <v>0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108</v>
      </c>
      <c r="C16" s="37"/>
      <c r="D16" s="37" t="s">
        <v>52</v>
      </c>
      <c r="E16" s="37" t="s">
        <v>122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L16+IFERROR(VLOOKUP($E:$E,'（居民）工资表-4月'!$E:$S,15,0),0)</f>
        <v>15000</v>
      </c>
      <c r="T16" s="91">
        <f>5000+IFERROR(VLOOKUP($E:$E,'（居民）工资表-4月'!$E:$T,16,0),0)</f>
        <v>5000</v>
      </c>
      <c r="U16" s="91">
        <f>Q16+IFERROR(VLOOKUP($E:$E,'（居民）工资表-4月'!$E:$U,17,0),0)</f>
        <v>2625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R16+IFERROR(VLOOKUP($E:$E,'（居民）工资表-4月'!$E:$AC,25,0),0)</f>
        <v>0</v>
      </c>
      <c r="AD16" s="93">
        <f t="shared" si="6"/>
        <v>7375</v>
      </c>
      <c r="AE16" s="94">
        <f>ROUND(MAX((AD16)*{0.03;0.1;0.2;0.25;0.3;0.35;0.45}-{0;2520;16920;31920;52920;85920;181920},0),2)</f>
        <v>221.25</v>
      </c>
      <c r="AF16" s="95">
        <f>IFERROR(VLOOKUP(E:E,'（居民）工资表-4月'!E:AF,28,0)+VLOOKUP(E:E,'（居民）工资表-4月'!E:AG,29,0),0)</f>
        <v>0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108</v>
      </c>
      <c r="C17" s="37"/>
      <c r="D17" s="37" t="s">
        <v>52</v>
      </c>
      <c r="E17" s="37" t="s">
        <v>123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L17+IFERROR(VLOOKUP($E:$E,'（居民）工资表-4月'!$E:$S,15,0),0)</f>
        <v>16000</v>
      </c>
      <c r="T17" s="91">
        <f>5000+IFERROR(VLOOKUP($E:$E,'（居民）工资表-4月'!$E:$T,16,0),0)</f>
        <v>5000</v>
      </c>
      <c r="U17" s="91">
        <f>Q17+IFERROR(VLOOKUP($E:$E,'（居民）工资表-4月'!$E:$U,17,0),0)</f>
        <v>2800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R17+IFERROR(VLOOKUP($E:$E,'（居民）工资表-4月'!$E:$AC,25,0),0)</f>
        <v>0</v>
      </c>
      <c r="AD17" s="93">
        <f t="shared" si="6"/>
        <v>8200</v>
      </c>
      <c r="AE17" s="94">
        <f>ROUND(MAX((AD17)*{0.03;0.1;0.2;0.25;0.3;0.35;0.45}-{0;2520;16920;31920;52920;85920;181920},0),2)</f>
        <v>246</v>
      </c>
      <c r="AF17" s="95">
        <f>IFERROR(VLOOKUP(E:E,'（居民）工资表-4月'!E:AF,28,0)+VLOOKUP(E:E,'（居民）工资表-4月'!E:AG,29,0),0)</f>
        <v>0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108</v>
      </c>
      <c r="C18" s="37"/>
      <c r="D18" s="37" t="s">
        <v>52</v>
      </c>
      <c r="E18" s="37" t="s">
        <v>124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L18+IFERROR(VLOOKUP($E:$E,'（居民）工资表-4月'!$E:$S,15,0),0)</f>
        <v>17000</v>
      </c>
      <c r="T18" s="91">
        <f>5000+IFERROR(VLOOKUP($E:$E,'（居民）工资表-4月'!$E:$T,16,0),0)</f>
        <v>5000</v>
      </c>
      <c r="U18" s="91">
        <f>Q18+IFERROR(VLOOKUP($E:$E,'（居民）工资表-4月'!$E:$U,17,0),0)</f>
        <v>2975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R18+IFERROR(VLOOKUP($E:$E,'（居民）工资表-4月'!$E:$AC,25,0),0)</f>
        <v>0</v>
      </c>
      <c r="AD18" s="93">
        <f t="shared" si="6"/>
        <v>9025</v>
      </c>
      <c r="AE18" s="94">
        <f>ROUND(MAX((AD18)*{0.03;0.1;0.2;0.25;0.3;0.35;0.45}-{0;2520;16920;31920;52920;85920;181920},0),2)</f>
        <v>270.75</v>
      </c>
      <c r="AF18" s="95">
        <f>IFERROR(VLOOKUP(E:E,'（居民）工资表-4月'!E:AF,28,0)+VLOOKUP(E:E,'（居民）工资表-4月'!E:AG,29,0),0)</f>
        <v>0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108</v>
      </c>
      <c r="C19" s="37"/>
      <c r="D19" s="37" t="s">
        <v>52</v>
      </c>
      <c r="E19" s="37" t="s">
        <v>125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L19+IFERROR(VLOOKUP($E:$E,'（居民）工资表-4月'!$E:$S,15,0),0)</f>
        <v>18000</v>
      </c>
      <c r="T19" s="91">
        <f>5000+IFERROR(VLOOKUP($E:$E,'（居民）工资表-4月'!$E:$T,16,0),0)</f>
        <v>5000</v>
      </c>
      <c r="U19" s="91">
        <f>Q19+IFERROR(VLOOKUP($E:$E,'（居民）工资表-4月'!$E:$U,17,0),0)</f>
        <v>3150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R19+IFERROR(VLOOKUP($E:$E,'（居民）工资表-4月'!$E:$AC,25,0),0)</f>
        <v>0</v>
      </c>
      <c r="AD19" s="93">
        <f t="shared" si="6"/>
        <v>9850</v>
      </c>
      <c r="AE19" s="94">
        <f>ROUND(MAX((AD19)*{0.03;0.1;0.2;0.25;0.3;0.35;0.45}-{0;2520;16920;31920;52920;85920;181920},0),2)</f>
        <v>295.5</v>
      </c>
      <c r="AF19" s="95">
        <f>IFERROR(VLOOKUP(E:E,'（居民）工资表-4月'!E:AF,28,0)+VLOOKUP(E:E,'（居民）工资表-4月'!E:AG,29,0),0)</f>
        <v>0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108</v>
      </c>
      <c r="C20" s="37"/>
      <c r="D20" s="37" t="s">
        <v>52</v>
      </c>
      <c r="E20" s="37" t="s">
        <v>126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L20+IFERROR(VLOOKUP($E:$E,'（居民）工资表-4月'!$E:$S,15,0),0)</f>
        <v>19000</v>
      </c>
      <c r="T20" s="91">
        <f>5000+IFERROR(VLOOKUP($E:$E,'（居民）工资表-4月'!$E:$T,16,0),0)</f>
        <v>5000</v>
      </c>
      <c r="U20" s="91">
        <f>Q20+IFERROR(VLOOKUP($E:$E,'（居民）工资表-4月'!$E:$U,17,0),0)</f>
        <v>3325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R20+IFERROR(VLOOKUP($E:$E,'（居民）工资表-4月'!$E:$AC,25,0),0)</f>
        <v>0</v>
      </c>
      <c r="AD20" s="93">
        <f t="shared" si="6"/>
        <v>10675</v>
      </c>
      <c r="AE20" s="94">
        <f>ROUND(MAX((AD20)*{0.03;0.1;0.2;0.25;0.3;0.35;0.45}-{0;2520;16920;31920;52920;85920;181920},0),2)</f>
        <v>320.25</v>
      </c>
      <c r="AF20" s="95">
        <f>IFERROR(VLOOKUP(E:E,'（居民）工资表-4月'!E:AF,28,0)+VLOOKUP(E:E,'（居民）工资表-4月'!E:AG,29,0),0)</f>
        <v>0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108</v>
      </c>
      <c r="C21" s="37"/>
      <c r="D21" s="37" t="s">
        <v>52</v>
      </c>
      <c r="E21" s="37" t="s">
        <v>127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L21+IFERROR(VLOOKUP($E:$E,'（居民）工资表-4月'!$E:$S,15,0),0)</f>
        <v>20000</v>
      </c>
      <c r="T21" s="91">
        <f>5000+IFERROR(VLOOKUP($E:$E,'（居民）工资表-4月'!$E:$T,16,0),0)</f>
        <v>5000</v>
      </c>
      <c r="U21" s="91">
        <f>Q21+IFERROR(VLOOKUP($E:$E,'（居民）工资表-4月'!$E:$U,17,0),0)</f>
        <v>3500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R21+IFERROR(VLOOKUP($E:$E,'（居民）工资表-4月'!$E:$AC,25,0),0)</f>
        <v>0</v>
      </c>
      <c r="AD21" s="93">
        <f t="shared" si="6"/>
        <v>11500</v>
      </c>
      <c r="AE21" s="94">
        <f>ROUND(MAX((AD21)*{0.03;0.1;0.2;0.25;0.3;0.35;0.45}-{0;2520;16920;31920;52920;85920;181920},0),2)</f>
        <v>345</v>
      </c>
      <c r="AF21" s="95">
        <f>IFERROR(VLOOKUP(E:E,'（居民）工资表-4月'!E:AF,28,0)+VLOOKUP(E:E,'（居民）工资表-4月'!E:AG,29,0),0)</f>
        <v>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108</v>
      </c>
      <c r="C22" s="37"/>
      <c r="D22" s="37" t="s">
        <v>52</v>
      </c>
      <c r="E22" s="37" t="s">
        <v>128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L22+IFERROR(VLOOKUP($E:$E,'（居民）工资表-4月'!$E:$S,15,0),0)</f>
        <v>21000</v>
      </c>
      <c r="T22" s="91">
        <f>5000+IFERROR(VLOOKUP($E:$E,'（居民）工资表-4月'!$E:$T,16,0),0)</f>
        <v>5000</v>
      </c>
      <c r="U22" s="91">
        <f>Q22+IFERROR(VLOOKUP($E:$E,'（居民）工资表-4月'!$E:$U,17,0),0)</f>
        <v>3675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R22+IFERROR(VLOOKUP($E:$E,'（居民）工资表-4月'!$E:$AC,25,0),0)</f>
        <v>0</v>
      </c>
      <c r="AD22" s="93">
        <f t="shared" si="6"/>
        <v>12325</v>
      </c>
      <c r="AE22" s="94">
        <f>ROUND(MAX((AD22)*{0.03;0.1;0.2;0.25;0.3;0.35;0.45}-{0;2520;16920;31920;52920;85920;181920},0),2)</f>
        <v>369.75</v>
      </c>
      <c r="AF22" s="95">
        <f>IFERROR(VLOOKUP(E:E,'（居民）工资表-4月'!E:AF,28,0)+VLOOKUP(E:E,'（居民）工资表-4月'!E:AG,29,0),0)</f>
        <v>0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108</v>
      </c>
      <c r="C23" s="37"/>
      <c r="D23" s="37" t="s">
        <v>52</v>
      </c>
      <c r="E23" s="37" t="s">
        <v>129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L23+IFERROR(VLOOKUP($E:$E,'（居民）工资表-4月'!$E:$S,15,0),0)</f>
        <v>22000</v>
      </c>
      <c r="T23" s="91">
        <f>5000+IFERROR(VLOOKUP($E:$E,'（居民）工资表-4月'!$E:$T,16,0),0)</f>
        <v>5000</v>
      </c>
      <c r="U23" s="91">
        <f>Q23+IFERROR(VLOOKUP($E:$E,'（居民）工资表-4月'!$E:$U,17,0),0)</f>
        <v>3850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R23+IFERROR(VLOOKUP($E:$E,'（居民）工资表-4月'!$E:$AC,25,0),0)</f>
        <v>0</v>
      </c>
      <c r="AD23" s="93">
        <f t="shared" si="6"/>
        <v>13150</v>
      </c>
      <c r="AE23" s="94">
        <f>ROUND(MAX((AD23)*{0.03;0.1;0.2;0.25;0.3;0.35;0.45}-{0;2520;16920;31920;52920;85920;181920},0),2)</f>
        <v>394.5</v>
      </c>
      <c r="AF23" s="95">
        <f>IFERROR(VLOOKUP(E:E,'（居民）工资表-4月'!E:AF,28,0)+VLOOKUP(E:E,'（居民）工资表-4月'!E:AG,29,0),0)</f>
        <v>0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250000</v>
      </c>
      <c r="T24" s="74">
        <f t="shared" si="12"/>
        <v>100000</v>
      </c>
      <c r="U24" s="74">
        <f t="shared" si="12"/>
        <v>43750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106250</v>
      </c>
      <c r="AE24" s="74">
        <f t="shared" si="12"/>
        <v>3342</v>
      </c>
      <c r="AF24" s="74">
        <f t="shared" si="12"/>
        <v>0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3">
      <c r="B28" s="47" t="s">
        <v>29</v>
      </c>
      <c r="C28" s="47" t="s">
        <v>60</v>
      </c>
      <c r="D28" s="47" t="s">
        <v>30</v>
      </c>
      <c r="E28" s="47" t="s">
        <v>61</v>
      </c>
      <c r="AD28" s="10"/>
      <c r="AG28" s="19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108</v>
      </c>
      <c r="C4" s="37"/>
      <c r="D4" s="37" t="s">
        <v>52</v>
      </c>
      <c r="E4" s="37" t="s">
        <v>110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L4+IFERROR(VLOOKUP($E:$E,'（居民）工资表-5月'!$E:$S,15,0),0)</f>
        <v>6000</v>
      </c>
      <c r="T4" s="91">
        <f>5000+IFERROR(VLOOKUP($E:$E,'（居民）工资表-5月'!$E:$T,16,0),0)</f>
        <v>10000</v>
      </c>
      <c r="U4" s="91">
        <f>Q4+IFERROR(VLOOKUP($E:$E,'（居民）工资表-5月'!$E:$U,17,0),0)</f>
        <v>1050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3">
        <f>ROUND(S4-T4-U4-AB4-AC4,2)</f>
        <v>-5050</v>
      </c>
      <c r="AE4" s="94">
        <f>ROUND(MAX((AD4)*{0.03;0.1;0.2;0.25;0.3;0.35;0.45}-{0;2520;16920;31920;52920;85920;181920},0),2)</f>
        <v>0</v>
      </c>
      <c r="AF4" s="95">
        <f>IFERROR(VLOOKUP(E:E,'（居民）工资表-5月'!E:AF,28,0)+VLOOKUP(E:E,'（居民）工资表-5月'!E:AG,29,0),0)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108</v>
      </c>
      <c r="C5" s="37"/>
      <c r="D5" s="37" t="s">
        <v>52</v>
      </c>
      <c r="E5" s="37" t="s">
        <v>111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L5+IFERROR(VLOOKUP($E:$E,'（居民）工资表-5月'!$E:$S,15,0),0)</f>
        <v>8000</v>
      </c>
      <c r="T5" s="91">
        <f>5000+IFERROR(VLOOKUP($E:$E,'（居民）工资表-5月'!$E:$T,16,0),0)</f>
        <v>10000</v>
      </c>
      <c r="U5" s="91">
        <f>Q5+IFERROR(VLOOKUP($E:$E,'（居民）工资表-5月'!$E:$U,17,0),0)</f>
        <v>1400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R5+IFERROR(VLOOKUP($E:$E,'（居民）工资表-5月'!$E:$AC,25,0),0)</f>
        <v>0</v>
      </c>
      <c r="AD5" s="93">
        <f t="shared" ref="AD5:AD23" si="6">ROUND(S5-T5-U5-AB5-AC5,2)</f>
        <v>-3400</v>
      </c>
      <c r="AE5" s="94">
        <f>ROUND(MAX((AD5)*{0.03;0.1;0.2;0.25;0.3;0.35;0.45}-{0;2520;16920;31920;52920;85920;181920},0),2)</f>
        <v>0</v>
      </c>
      <c r="AF5" s="95">
        <f>IFERROR(VLOOKUP(E:E,'（居民）工资表-5月'!E:AF,28,0)+VLOOKUP(E:E,'（居民）工资表-5月'!E:AG,29,0),0)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108</v>
      </c>
      <c r="C6" s="37"/>
      <c r="D6" s="37" t="s">
        <v>52</v>
      </c>
      <c r="E6" s="37" t="s">
        <v>112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L6+IFERROR(VLOOKUP($E:$E,'（居民）工资表-5月'!$E:$S,15,0),0)</f>
        <v>10000</v>
      </c>
      <c r="T6" s="91">
        <f>5000+IFERROR(VLOOKUP($E:$E,'（居民）工资表-5月'!$E:$T,16,0),0)</f>
        <v>10000</v>
      </c>
      <c r="U6" s="91">
        <f>Q6+IFERROR(VLOOKUP($E:$E,'（居民）工资表-5月'!$E:$U,17,0),0)</f>
        <v>1750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R6+IFERROR(VLOOKUP($E:$E,'（居民）工资表-5月'!$E:$AC,25,0),0)</f>
        <v>0</v>
      </c>
      <c r="AD6" s="93">
        <f t="shared" si="6"/>
        <v>-1750</v>
      </c>
      <c r="AE6" s="94">
        <f>ROUND(MAX((AD6)*{0.03;0.1;0.2;0.25;0.3;0.35;0.45}-{0;2520;16920;31920;52920;85920;181920},0),2)</f>
        <v>0</v>
      </c>
      <c r="AF6" s="95">
        <f>IFERROR(VLOOKUP(E:E,'（居民）工资表-5月'!E:AF,28,0)+VLOOKUP(E:E,'（居民）工资表-5月'!E:AG,29,0),0)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108</v>
      </c>
      <c r="C7" s="37"/>
      <c r="D7" s="37" t="s">
        <v>52</v>
      </c>
      <c r="E7" s="37" t="s">
        <v>113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L7+IFERROR(VLOOKUP($E:$E,'（居民）工资表-5月'!$E:$S,15,0),0)</f>
        <v>12000</v>
      </c>
      <c r="T7" s="91">
        <f>5000+IFERROR(VLOOKUP($E:$E,'（居民）工资表-5月'!$E:$T,16,0),0)</f>
        <v>10000</v>
      </c>
      <c r="U7" s="91">
        <f>Q7+IFERROR(VLOOKUP($E:$E,'（居民）工资表-5月'!$E:$U,17,0),0)</f>
        <v>2100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R7+IFERROR(VLOOKUP($E:$E,'（居民）工资表-5月'!$E:$AC,25,0),0)</f>
        <v>0</v>
      </c>
      <c r="AD7" s="93">
        <f t="shared" si="6"/>
        <v>-100</v>
      </c>
      <c r="AE7" s="94">
        <f>ROUND(MAX((AD7)*{0.03;0.1;0.2;0.25;0.3;0.35;0.45}-{0;2520;16920;31920;52920;85920;181920},0),2)</f>
        <v>0</v>
      </c>
      <c r="AF7" s="95">
        <f>IFERROR(VLOOKUP(E:E,'（居民）工资表-5月'!E:AF,28,0)+VLOOKUP(E:E,'（居民）工资表-5月'!E:AG,29,0),0)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108</v>
      </c>
      <c r="C8" s="37"/>
      <c r="D8" s="37" t="s">
        <v>52</v>
      </c>
      <c r="E8" s="37" t="s">
        <v>114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L8+IFERROR(VLOOKUP($E:$E,'（居民）工资表-5月'!$E:$S,15,0),0)</f>
        <v>14000</v>
      </c>
      <c r="T8" s="91">
        <f>5000+IFERROR(VLOOKUP($E:$E,'（居民）工资表-5月'!$E:$T,16,0),0)</f>
        <v>10000</v>
      </c>
      <c r="U8" s="91">
        <f>Q8+IFERROR(VLOOKUP($E:$E,'（居民）工资表-5月'!$E:$U,17,0),0)</f>
        <v>2450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R8+IFERROR(VLOOKUP($E:$E,'（居民）工资表-5月'!$E:$AC,25,0),0)</f>
        <v>0</v>
      </c>
      <c r="AD8" s="93">
        <f t="shared" si="6"/>
        <v>1550</v>
      </c>
      <c r="AE8" s="94">
        <f>ROUND(MAX((AD8)*{0.03;0.1;0.2;0.25;0.3;0.35;0.45}-{0;2520;16920;31920;52920;85920;181920},0),2)</f>
        <v>46.5</v>
      </c>
      <c r="AF8" s="95">
        <f>IFERROR(VLOOKUP(E:E,'（居民）工资表-5月'!E:AF,28,0)+VLOOKUP(E:E,'（居民）工资表-5月'!E:AG,29,0),0)</f>
        <v>23.25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108</v>
      </c>
      <c r="C9" s="37"/>
      <c r="D9" s="37" t="s">
        <v>52</v>
      </c>
      <c r="E9" s="37" t="s">
        <v>115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L9+IFERROR(VLOOKUP($E:$E,'（居民）工资表-5月'!$E:$S,15,0),0)</f>
        <v>16000</v>
      </c>
      <c r="T9" s="91">
        <f>5000+IFERROR(VLOOKUP($E:$E,'（居民）工资表-5月'!$E:$T,16,0),0)</f>
        <v>10000</v>
      </c>
      <c r="U9" s="91">
        <f>Q9+IFERROR(VLOOKUP($E:$E,'（居民）工资表-5月'!$E:$U,17,0),0)</f>
        <v>2800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R9+IFERROR(VLOOKUP($E:$E,'（居民）工资表-5月'!$E:$AC,25,0),0)</f>
        <v>0</v>
      </c>
      <c r="AD9" s="93">
        <f t="shared" si="6"/>
        <v>3200</v>
      </c>
      <c r="AE9" s="94">
        <f>ROUND(MAX((AD9)*{0.03;0.1;0.2;0.25;0.3;0.35;0.45}-{0;2520;16920;31920;52920;85920;181920},0),2)</f>
        <v>96</v>
      </c>
      <c r="AF9" s="95">
        <f>IFERROR(VLOOKUP(E:E,'（居民）工资表-5月'!E:AF,28,0)+VLOOKUP(E:E,'（居民）工资表-5月'!E:AG,29,0),0)</f>
        <v>48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108</v>
      </c>
      <c r="C10" s="37"/>
      <c r="D10" s="37" t="s">
        <v>52</v>
      </c>
      <c r="E10" s="37" t="s">
        <v>116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L10+IFERROR(VLOOKUP($E:$E,'（居民）工资表-5月'!$E:$S,15,0),0)</f>
        <v>18000</v>
      </c>
      <c r="T10" s="91">
        <f>5000+IFERROR(VLOOKUP($E:$E,'（居民）工资表-5月'!$E:$T,16,0),0)</f>
        <v>10000</v>
      </c>
      <c r="U10" s="91">
        <f>Q10+IFERROR(VLOOKUP($E:$E,'（居民）工资表-5月'!$E:$U,17,0),0)</f>
        <v>3150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R10+IFERROR(VLOOKUP($E:$E,'（居民）工资表-5月'!$E:$AC,25,0),0)</f>
        <v>0</v>
      </c>
      <c r="AD10" s="93">
        <f t="shared" si="6"/>
        <v>4850</v>
      </c>
      <c r="AE10" s="94">
        <f>ROUND(MAX((AD10)*{0.03;0.1;0.2;0.25;0.3;0.35;0.45}-{0;2520;16920;31920;52920;85920;181920},0),2)</f>
        <v>145.5</v>
      </c>
      <c r="AF10" s="95">
        <f>IFERROR(VLOOKUP(E:E,'（居民）工资表-5月'!E:AF,28,0)+VLOOKUP(E:E,'（居民）工资表-5月'!E:AG,29,0),0)</f>
        <v>72.75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108</v>
      </c>
      <c r="C11" s="37"/>
      <c r="D11" s="37" t="s">
        <v>52</v>
      </c>
      <c r="E11" s="37" t="s">
        <v>117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L11+IFERROR(VLOOKUP($E:$E,'（居民）工资表-5月'!$E:$S,15,0),0)</f>
        <v>20000</v>
      </c>
      <c r="T11" s="91">
        <f>5000+IFERROR(VLOOKUP($E:$E,'（居民）工资表-5月'!$E:$T,16,0),0)</f>
        <v>10000</v>
      </c>
      <c r="U11" s="91">
        <f>Q11+IFERROR(VLOOKUP($E:$E,'（居民）工资表-5月'!$E:$U,17,0),0)</f>
        <v>3500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R11+IFERROR(VLOOKUP($E:$E,'（居民）工资表-5月'!$E:$AC,25,0),0)</f>
        <v>0</v>
      </c>
      <c r="AD11" s="93">
        <f t="shared" si="6"/>
        <v>6500</v>
      </c>
      <c r="AE11" s="94">
        <f>ROUND(MAX((AD11)*{0.03;0.1;0.2;0.25;0.3;0.35;0.45}-{0;2520;16920;31920;52920;85920;181920},0),2)</f>
        <v>195</v>
      </c>
      <c r="AF11" s="95">
        <f>IFERROR(VLOOKUP(E:E,'（居民）工资表-5月'!E:AF,28,0)+VLOOKUP(E:E,'（居民）工资表-5月'!E:AG,29,0),0)</f>
        <v>97.5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108</v>
      </c>
      <c r="C12" s="37"/>
      <c r="D12" s="37" t="s">
        <v>52</v>
      </c>
      <c r="E12" s="37" t="s">
        <v>118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L12+IFERROR(VLOOKUP($E:$E,'（居民）工资表-5月'!$E:$S,15,0),0)</f>
        <v>22000</v>
      </c>
      <c r="T12" s="91">
        <f>5000+IFERROR(VLOOKUP($E:$E,'（居民）工资表-5月'!$E:$T,16,0),0)</f>
        <v>10000</v>
      </c>
      <c r="U12" s="91">
        <f>Q12+IFERROR(VLOOKUP($E:$E,'（居民）工资表-5月'!$E:$U,17,0),0)</f>
        <v>3850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R12+IFERROR(VLOOKUP($E:$E,'（居民）工资表-5月'!$E:$AC,25,0),0)</f>
        <v>0</v>
      </c>
      <c r="AD12" s="93">
        <f t="shared" si="6"/>
        <v>8150</v>
      </c>
      <c r="AE12" s="94">
        <f>ROUND(MAX((AD12)*{0.03;0.1;0.2;0.25;0.3;0.35;0.45}-{0;2520;16920;31920;52920;85920;181920},0),2)</f>
        <v>244.5</v>
      </c>
      <c r="AF12" s="95">
        <f>IFERROR(VLOOKUP(E:E,'（居民）工资表-5月'!E:AF,28,0)+VLOOKUP(E:E,'（居民）工资表-5月'!E:AG,29,0),0)</f>
        <v>122.25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108</v>
      </c>
      <c r="C13" s="37"/>
      <c r="D13" s="37" t="s">
        <v>52</v>
      </c>
      <c r="E13" s="37" t="s">
        <v>119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L13+IFERROR(VLOOKUP($E:$E,'（居民）工资表-5月'!$E:$S,15,0),0)</f>
        <v>24000</v>
      </c>
      <c r="T13" s="91">
        <f>5000+IFERROR(VLOOKUP($E:$E,'（居民）工资表-5月'!$E:$T,16,0),0)</f>
        <v>10000</v>
      </c>
      <c r="U13" s="91">
        <f>Q13+IFERROR(VLOOKUP($E:$E,'（居民）工资表-5月'!$E:$U,17,0),0)</f>
        <v>4200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R13+IFERROR(VLOOKUP($E:$E,'（居民）工资表-5月'!$E:$AC,25,0),0)</f>
        <v>0</v>
      </c>
      <c r="AD13" s="93">
        <f t="shared" si="6"/>
        <v>9800</v>
      </c>
      <c r="AE13" s="94">
        <f>ROUND(MAX((AD13)*{0.03;0.1;0.2;0.25;0.3;0.35;0.45}-{0;2520;16920;31920;52920;85920;181920},0),2)</f>
        <v>294</v>
      </c>
      <c r="AF13" s="95">
        <f>IFERROR(VLOOKUP(E:E,'（居民）工资表-5月'!E:AF,28,0)+VLOOKUP(E:E,'（居民）工资表-5月'!E:AG,29,0),0)</f>
        <v>147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108</v>
      </c>
      <c r="C14" s="37"/>
      <c r="D14" s="37" t="s">
        <v>52</v>
      </c>
      <c r="E14" s="37" t="s">
        <v>120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L14+IFERROR(VLOOKUP($E:$E,'（居民）工资表-5月'!$E:$S,15,0),0)</f>
        <v>26000</v>
      </c>
      <c r="T14" s="91">
        <f>5000+IFERROR(VLOOKUP($E:$E,'（居民）工资表-5月'!$E:$T,16,0),0)</f>
        <v>10000</v>
      </c>
      <c r="U14" s="91">
        <f>Q14+IFERROR(VLOOKUP($E:$E,'（居民）工资表-5月'!$E:$U,17,0),0)</f>
        <v>4550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R14+IFERROR(VLOOKUP($E:$E,'（居民）工资表-5月'!$E:$AC,25,0),0)</f>
        <v>0</v>
      </c>
      <c r="AD14" s="93">
        <f t="shared" si="6"/>
        <v>11450</v>
      </c>
      <c r="AE14" s="94">
        <f>ROUND(MAX((AD14)*{0.03;0.1;0.2;0.25;0.3;0.35;0.45}-{0;2520;16920;31920;52920;85920;181920},0),2)</f>
        <v>343.5</v>
      </c>
      <c r="AF14" s="95">
        <f>IFERROR(VLOOKUP(E:E,'（居民）工资表-5月'!E:AF,28,0)+VLOOKUP(E:E,'（居民）工资表-5月'!E:AG,29,0),0)</f>
        <v>171.75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108</v>
      </c>
      <c r="C15" s="37"/>
      <c r="D15" s="37" t="s">
        <v>52</v>
      </c>
      <c r="E15" s="37" t="s">
        <v>121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L15+IFERROR(VLOOKUP($E:$E,'（居民）工资表-5月'!$E:$S,15,0),0)</f>
        <v>28000</v>
      </c>
      <c r="T15" s="91">
        <f>5000+IFERROR(VLOOKUP($E:$E,'（居民）工资表-5月'!$E:$T,16,0),0)</f>
        <v>10000</v>
      </c>
      <c r="U15" s="91">
        <f>Q15+IFERROR(VLOOKUP($E:$E,'（居民）工资表-5月'!$E:$U,17,0),0)</f>
        <v>4900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R15+IFERROR(VLOOKUP($E:$E,'（居民）工资表-5月'!$E:$AC,25,0),0)</f>
        <v>0</v>
      </c>
      <c r="AD15" s="93">
        <f t="shared" si="6"/>
        <v>13100</v>
      </c>
      <c r="AE15" s="94">
        <f>ROUND(MAX((AD15)*{0.03;0.1;0.2;0.25;0.3;0.35;0.45}-{0;2520;16920;31920;52920;85920;181920},0),2)</f>
        <v>393</v>
      </c>
      <c r="AF15" s="95">
        <f>IFERROR(VLOOKUP(E:E,'（居民）工资表-5月'!E:AF,28,0)+VLOOKUP(E:E,'（居民）工资表-5月'!E:AG,29,0),0)</f>
        <v>196.5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108</v>
      </c>
      <c r="C16" s="37"/>
      <c r="D16" s="37" t="s">
        <v>52</v>
      </c>
      <c r="E16" s="37" t="s">
        <v>122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L16+IFERROR(VLOOKUP($E:$E,'（居民）工资表-5月'!$E:$S,15,0),0)</f>
        <v>30000</v>
      </c>
      <c r="T16" s="91">
        <f>5000+IFERROR(VLOOKUP($E:$E,'（居民）工资表-5月'!$E:$T,16,0),0)</f>
        <v>10000</v>
      </c>
      <c r="U16" s="91">
        <f>Q16+IFERROR(VLOOKUP($E:$E,'（居民）工资表-5月'!$E:$U,17,0),0)</f>
        <v>5250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R16+IFERROR(VLOOKUP($E:$E,'（居民）工资表-5月'!$E:$AC,25,0),0)</f>
        <v>0</v>
      </c>
      <c r="AD16" s="93">
        <f t="shared" si="6"/>
        <v>14750</v>
      </c>
      <c r="AE16" s="94">
        <f>ROUND(MAX((AD16)*{0.03;0.1;0.2;0.25;0.3;0.35;0.45}-{0;2520;16920;31920;52920;85920;181920},0),2)</f>
        <v>442.5</v>
      </c>
      <c r="AF16" s="95">
        <f>IFERROR(VLOOKUP(E:E,'（居民）工资表-5月'!E:AF,28,0)+VLOOKUP(E:E,'（居民）工资表-5月'!E:AG,29,0),0)</f>
        <v>221.25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108</v>
      </c>
      <c r="C17" s="37"/>
      <c r="D17" s="37" t="s">
        <v>52</v>
      </c>
      <c r="E17" s="37" t="s">
        <v>123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L17+IFERROR(VLOOKUP($E:$E,'（居民）工资表-5月'!$E:$S,15,0),0)</f>
        <v>32000</v>
      </c>
      <c r="T17" s="91">
        <f>5000+IFERROR(VLOOKUP($E:$E,'（居民）工资表-5月'!$E:$T,16,0),0)</f>
        <v>10000</v>
      </c>
      <c r="U17" s="91">
        <f>Q17+IFERROR(VLOOKUP($E:$E,'（居民）工资表-5月'!$E:$U,17,0),0)</f>
        <v>5600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R17+IFERROR(VLOOKUP($E:$E,'（居民）工资表-5月'!$E:$AC,25,0),0)</f>
        <v>0</v>
      </c>
      <c r="AD17" s="93">
        <f t="shared" si="6"/>
        <v>16400</v>
      </c>
      <c r="AE17" s="94">
        <f>ROUND(MAX((AD17)*{0.03;0.1;0.2;0.25;0.3;0.35;0.45}-{0;2520;16920;31920;52920;85920;181920},0),2)</f>
        <v>492</v>
      </c>
      <c r="AF17" s="95">
        <f>IFERROR(VLOOKUP(E:E,'（居民）工资表-5月'!E:AF,28,0)+VLOOKUP(E:E,'（居民）工资表-5月'!E:AG,29,0),0)</f>
        <v>246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108</v>
      </c>
      <c r="C18" s="37"/>
      <c r="D18" s="37" t="s">
        <v>52</v>
      </c>
      <c r="E18" s="37" t="s">
        <v>124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L18+IFERROR(VLOOKUP($E:$E,'（居民）工资表-5月'!$E:$S,15,0),0)</f>
        <v>34000</v>
      </c>
      <c r="T18" s="91">
        <f>5000+IFERROR(VLOOKUP($E:$E,'（居民）工资表-5月'!$E:$T,16,0),0)</f>
        <v>10000</v>
      </c>
      <c r="U18" s="91">
        <f>Q18+IFERROR(VLOOKUP($E:$E,'（居民）工资表-5月'!$E:$U,17,0),0)</f>
        <v>5950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R18+IFERROR(VLOOKUP($E:$E,'（居民）工资表-5月'!$E:$AC,25,0),0)</f>
        <v>0</v>
      </c>
      <c r="AD18" s="93">
        <f t="shared" si="6"/>
        <v>18050</v>
      </c>
      <c r="AE18" s="94">
        <f>ROUND(MAX((AD18)*{0.03;0.1;0.2;0.25;0.3;0.35;0.45}-{0;2520;16920;31920;52920;85920;181920},0),2)</f>
        <v>541.5</v>
      </c>
      <c r="AF18" s="95">
        <f>IFERROR(VLOOKUP(E:E,'（居民）工资表-5月'!E:AF,28,0)+VLOOKUP(E:E,'（居民）工资表-5月'!E:AG,29,0),0)</f>
        <v>270.75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108</v>
      </c>
      <c r="C19" s="37"/>
      <c r="D19" s="37" t="s">
        <v>52</v>
      </c>
      <c r="E19" s="37" t="s">
        <v>125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L19+IFERROR(VLOOKUP($E:$E,'（居民）工资表-5月'!$E:$S,15,0),0)</f>
        <v>36000</v>
      </c>
      <c r="T19" s="91">
        <f>5000+IFERROR(VLOOKUP($E:$E,'（居民）工资表-5月'!$E:$T,16,0),0)</f>
        <v>10000</v>
      </c>
      <c r="U19" s="91">
        <f>Q19+IFERROR(VLOOKUP($E:$E,'（居民）工资表-5月'!$E:$U,17,0),0)</f>
        <v>6300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R19+IFERROR(VLOOKUP($E:$E,'（居民）工资表-5月'!$E:$AC,25,0),0)</f>
        <v>0</v>
      </c>
      <c r="AD19" s="93">
        <f t="shared" si="6"/>
        <v>19700</v>
      </c>
      <c r="AE19" s="94">
        <f>ROUND(MAX((AD19)*{0.03;0.1;0.2;0.25;0.3;0.35;0.45}-{0;2520;16920;31920;52920;85920;181920},0),2)</f>
        <v>591</v>
      </c>
      <c r="AF19" s="95">
        <f>IFERROR(VLOOKUP(E:E,'（居民）工资表-5月'!E:AF,28,0)+VLOOKUP(E:E,'（居民）工资表-5月'!E:AG,29,0),0)</f>
        <v>295.5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108</v>
      </c>
      <c r="C20" s="37"/>
      <c r="D20" s="37" t="s">
        <v>52</v>
      </c>
      <c r="E20" s="37" t="s">
        <v>126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L20+IFERROR(VLOOKUP($E:$E,'（居民）工资表-5月'!$E:$S,15,0),0)</f>
        <v>38000</v>
      </c>
      <c r="T20" s="91">
        <f>5000+IFERROR(VLOOKUP($E:$E,'（居民）工资表-5月'!$E:$T,16,0),0)</f>
        <v>10000</v>
      </c>
      <c r="U20" s="91">
        <f>Q20+IFERROR(VLOOKUP($E:$E,'（居民）工资表-5月'!$E:$U,17,0),0)</f>
        <v>6650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R20+IFERROR(VLOOKUP($E:$E,'（居民）工资表-5月'!$E:$AC,25,0),0)</f>
        <v>0</v>
      </c>
      <c r="AD20" s="93">
        <f t="shared" si="6"/>
        <v>21350</v>
      </c>
      <c r="AE20" s="94">
        <f>ROUND(MAX((AD20)*{0.03;0.1;0.2;0.25;0.3;0.35;0.45}-{0;2520;16920;31920;52920;85920;181920},0),2)</f>
        <v>640.5</v>
      </c>
      <c r="AF20" s="95">
        <f>IFERROR(VLOOKUP(E:E,'（居民）工资表-5月'!E:AF,28,0)+VLOOKUP(E:E,'（居民）工资表-5月'!E:AG,29,0),0)</f>
        <v>320.25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108</v>
      </c>
      <c r="C21" s="37"/>
      <c r="D21" s="37" t="s">
        <v>52</v>
      </c>
      <c r="E21" s="37" t="s">
        <v>127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L21+IFERROR(VLOOKUP($E:$E,'（居民）工资表-5月'!$E:$S,15,0),0)</f>
        <v>40000</v>
      </c>
      <c r="T21" s="91">
        <f>5000+IFERROR(VLOOKUP($E:$E,'（居民）工资表-5月'!$E:$T,16,0),0)</f>
        <v>10000</v>
      </c>
      <c r="U21" s="91">
        <f>Q21+IFERROR(VLOOKUP($E:$E,'（居民）工资表-5月'!$E:$U,17,0),0)</f>
        <v>7000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R21+IFERROR(VLOOKUP($E:$E,'（居民）工资表-5月'!$E:$AC,25,0),0)</f>
        <v>0</v>
      </c>
      <c r="AD21" s="93">
        <f t="shared" si="6"/>
        <v>23000</v>
      </c>
      <c r="AE21" s="94">
        <f>ROUND(MAX((AD21)*{0.03;0.1;0.2;0.25;0.3;0.35;0.45}-{0;2520;16920;31920;52920;85920;181920},0),2)</f>
        <v>690</v>
      </c>
      <c r="AF21" s="95">
        <f>IFERROR(VLOOKUP(E:E,'（居民）工资表-5月'!E:AF,28,0)+VLOOKUP(E:E,'（居民）工资表-5月'!E:AG,29,0),0)</f>
        <v>345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108</v>
      </c>
      <c r="C22" s="37"/>
      <c r="D22" s="37" t="s">
        <v>52</v>
      </c>
      <c r="E22" s="37" t="s">
        <v>128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L22+IFERROR(VLOOKUP($E:$E,'（居民）工资表-5月'!$E:$S,15,0),0)</f>
        <v>42000</v>
      </c>
      <c r="T22" s="91">
        <f>5000+IFERROR(VLOOKUP($E:$E,'（居民）工资表-5月'!$E:$T,16,0),0)</f>
        <v>10000</v>
      </c>
      <c r="U22" s="91">
        <f>Q22+IFERROR(VLOOKUP($E:$E,'（居民）工资表-5月'!$E:$U,17,0),0)</f>
        <v>7350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R22+IFERROR(VLOOKUP($E:$E,'（居民）工资表-5月'!$E:$AC,25,0),0)</f>
        <v>0</v>
      </c>
      <c r="AD22" s="93">
        <f t="shared" si="6"/>
        <v>24650</v>
      </c>
      <c r="AE22" s="94">
        <f>ROUND(MAX((AD22)*{0.03;0.1;0.2;0.25;0.3;0.35;0.45}-{0;2520;16920;31920;52920;85920;181920},0),2)</f>
        <v>739.5</v>
      </c>
      <c r="AF22" s="95">
        <f>IFERROR(VLOOKUP(E:E,'（居民）工资表-5月'!E:AF,28,0)+VLOOKUP(E:E,'（居民）工资表-5月'!E:AG,29,0),0)</f>
        <v>369.75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108</v>
      </c>
      <c r="C23" s="37"/>
      <c r="D23" s="37" t="s">
        <v>52</v>
      </c>
      <c r="E23" s="37" t="s">
        <v>129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L23+IFERROR(VLOOKUP($E:$E,'（居民）工资表-5月'!$E:$S,15,0),0)</f>
        <v>44000</v>
      </c>
      <c r="T23" s="91">
        <f>5000+IFERROR(VLOOKUP($E:$E,'（居民）工资表-5月'!$E:$T,16,0),0)</f>
        <v>10000</v>
      </c>
      <c r="U23" s="91">
        <f>Q23+IFERROR(VLOOKUP($E:$E,'（居民）工资表-5月'!$E:$U,17,0),0)</f>
        <v>7700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R23+IFERROR(VLOOKUP($E:$E,'（居民）工资表-5月'!$E:$AC,25,0),0)</f>
        <v>0</v>
      </c>
      <c r="AD23" s="93">
        <f t="shared" si="6"/>
        <v>26300</v>
      </c>
      <c r="AE23" s="94">
        <f>ROUND(MAX((AD23)*{0.03;0.1;0.2;0.25;0.3;0.35;0.45}-{0;2520;16920;31920;52920;85920;181920},0),2)</f>
        <v>789</v>
      </c>
      <c r="AF23" s="95">
        <f>IFERROR(VLOOKUP(E:E,'（居民）工资表-5月'!E:AF,28,0)+VLOOKUP(E:E,'（居民）工资表-5月'!E:AG,29,0),0)</f>
        <v>394.5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500000</v>
      </c>
      <c r="T24" s="74">
        <f t="shared" si="12"/>
        <v>200000</v>
      </c>
      <c r="U24" s="74">
        <f t="shared" si="12"/>
        <v>87500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212500</v>
      </c>
      <c r="AE24" s="74">
        <f t="shared" si="12"/>
        <v>6684</v>
      </c>
      <c r="AF24" s="74">
        <f t="shared" si="12"/>
        <v>3342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30" sqref="N30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108</v>
      </c>
      <c r="C4" s="37"/>
      <c r="D4" s="37" t="s">
        <v>52</v>
      </c>
      <c r="E4" s="37" t="s">
        <v>110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L4+IFERROR(VLOOKUP($E:$E,'（居民）工资表-6月'!$E:$S,15,0),0)</f>
        <v>9000</v>
      </c>
      <c r="T4" s="91">
        <f>5000+IFERROR(VLOOKUP($E:$E,'（居民）工资表-6月'!$E:$T,16,0),0)</f>
        <v>15000</v>
      </c>
      <c r="U4" s="91">
        <f>Q4+IFERROR(VLOOKUP($E:$E,'（居民）工资表-6月'!$E:$U,17,0),0)</f>
        <v>1575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R4+IFERROR(VLOOKUP($E:$E,'（居民）工资表-6月'!$E:$AC,25,0),0)</f>
        <v>0</v>
      </c>
      <c r="AD4" s="93">
        <f>ROUND(S4-T4-U4-AB4-AC4,2)</f>
        <v>-7575</v>
      </c>
      <c r="AE4" s="94">
        <f>ROUND(MAX((AD4)*{0.03;0.1;0.2;0.25;0.3;0.35;0.45}-{0;2520;16920;31920;52920;85920;181920},0),2)</f>
        <v>0</v>
      </c>
      <c r="AF4" s="95">
        <f>IFERROR(VLOOKUP(E:E,'（居民）工资表-6月'!E:AF,28,0)+VLOOKUP(E:E,'（居民）工资表-6月'!E:AG,29,0),0)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108</v>
      </c>
      <c r="C5" s="37"/>
      <c r="D5" s="37" t="s">
        <v>52</v>
      </c>
      <c r="E5" s="37" t="s">
        <v>111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L5+IFERROR(VLOOKUP($E:$E,'（居民）工资表-6月'!$E:$S,15,0),0)</f>
        <v>12000</v>
      </c>
      <c r="T5" s="91">
        <f>5000+IFERROR(VLOOKUP($E:$E,'（居民）工资表-6月'!$E:$T,16,0),0)</f>
        <v>15000</v>
      </c>
      <c r="U5" s="91">
        <f>Q5+IFERROR(VLOOKUP($E:$E,'（居民）工资表-6月'!$E:$U,17,0),0)</f>
        <v>2100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R5+IFERROR(VLOOKUP($E:$E,'（居民）工资表-6月'!$E:$AC,25,0),0)</f>
        <v>0</v>
      </c>
      <c r="AD5" s="93">
        <f t="shared" ref="AD5:AD23" si="6">ROUND(S5-T5-U5-AB5-AC5,2)</f>
        <v>-5100</v>
      </c>
      <c r="AE5" s="94">
        <f>ROUND(MAX((AD5)*{0.03;0.1;0.2;0.25;0.3;0.35;0.45}-{0;2520;16920;31920;52920;85920;181920},0),2)</f>
        <v>0</v>
      </c>
      <c r="AF5" s="95">
        <f>IFERROR(VLOOKUP(E:E,'（居民）工资表-6月'!E:AF,28,0)+VLOOKUP(E:E,'（居民）工资表-6月'!E:AG,29,0),0)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108</v>
      </c>
      <c r="C6" s="37"/>
      <c r="D6" s="37" t="s">
        <v>52</v>
      </c>
      <c r="E6" s="37" t="s">
        <v>112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L6+IFERROR(VLOOKUP($E:$E,'（居民）工资表-6月'!$E:$S,15,0),0)</f>
        <v>15000</v>
      </c>
      <c r="T6" s="91">
        <f>5000+IFERROR(VLOOKUP($E:$E,'（居民）工资表-6月'!$E:$T,16,0),0)</f>
        <v>15000</v>
      </c>
      <c r="U6" s="91">
        <f>Q6+IFERROR(VLOOKUP($E:$E,'（居民）工资表-6月'!$E:$U,17,0),0)</f>
        <v>2625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R6+IFERROR(VLOOKUP($E:$E,'（居民）工资表-6月'!$E:$AC,25,0),0)</f>
        <v>0</v>
      </c>
      <c r="AD6" s="93">
        <f t="shared" si="6"/>
        <v>-2625</v>
      </c>
      <c r="AE6" s="94">
        <f>ROUND(MAX((AD6)*{0.03;0.1;0.2;0.25;0.3;0.35;0.45}-{0;2520;16920;31920;52920;85920;181920},0),2)</f>
        <v>0</v>
      </c>
      <c r="AF6" s="95">
        <f>IFERROR(VLOOKUP(E:E,'（居民）工资表-6月'!E:AF,28,0)+VLOOKUP(E:E,'（居民）工资表-6月'!E:AG,29,0),0)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108</v>
      </c>
      <c r="C7" s="37"/>
      <c r="D7" s="37" t="s">
        <v>52</v>
      </c>
      <c r="E7" s="37" t="s">
        <v>113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L7+IFERROR(VLOOKUP($E:$E,'（居民）工资表-6月'!$E:$S,15,0),0)</f>
        <v>18000</v>
      </c>
      <c r="T7" s="91">
        <f>5000+IFERROR(VLOOKUP($E:$E,'（居民）工资表-6月'!$E:$T,16,0),0)</f>
        <v>15000</v>
      </c>
      <c r="U7" s="91">
        <f>Q7+IFERROR(VLOOKUP($E:$E,'（居民）工资表-6月'!$E:$U,17,0),0)</f>
        <v>3150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R7+IFERROR(VLOOKUP($E:$E,'（居民）工资表-6月'!$E:$AC,25,0),0)</f>
        <v>0</v>
      </c>
      <c r="AD7" s="93">
        <f t="shared" si="6"/>
        <v>-150</v>
      </c>
      <c r="AE7" s="94">
        <f>ROUND(MAX((AD7)*{0.03;0.1;0.2;0.25;0.3;0.35;0.45}-{0;2520;16920;31920;52920;85920;181920},0),2)</f>
        <v>0</v>
      </c>
      <c r="AF7" s="95">
        <f>IFERROR(VLOOKUP(E:E,'（居民）工资表-6月'!E:AF,28,0)+VLOOKUP(E:E,'（居民）工资表-6月'!E:AG,29,0),0)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108</v>
      </c>
      <c r="C8" s="37"/>
      <c r="D8" s="37" t="s">
        <v>52</v>
      </c>
      <c r="E8" s="37" t="s">
        <v>114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L8+IFERROR(VLOOKUP($E:$E,'（居民）工资表-6月'!$E:$S,15,0),0)</f>
        <v>21000</v>
      </c>
      <c r="T8" s="91">
        <f>5000+IFERROR(VLOOKUP($E:$E,'（居民）工资表-6月'!$E:$T,16,0),0)</f>
        <v>15000</v>
      </c>
      <c r="U8" s="91">
        <f>Q8+IFERROR(VLOOKUP($E:$E,'（居民）工资表-6月'!$E:$U,17,0),0)</f>
        <v>3675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R8+IFERROR(VLOOKUP($E:$E,'（居民）工资表-6月'!$E:$AC,25,0),0)</f>
        <v>0</v>
      </c>
      <c r="AD8" s="93">
        <f t="shared" si="6"/>
        <v>2325</v>
      </c>
      <c r="AE8" s="94">
        <f>ROUND(MAX((AD8)*{0.03;0.1;0.2;0.25;0.3;0.35;0.45}-{0;2520;16920;31920;52920;85920;181920},0),2)</f>
        <v>69.75</v>
      </c>
      <c r="AF8" s="95">
        <f>IFERROR(VLOOKUP(E:E,'（居民）工资表-6月'!E:AF,28,0)+VLOOKUP(E:E,'（居民）工资表-6月'!E:AG,29,0),0)</f>
        <v>46.5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108</v>
      </c>
      <c r="C9" s="37"/>
      <c r="D9" s="37" t="s">
        <v>52</v>
      </c>
      <c r="E9" s="37" t="s">
        <v>115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L9+IFERROR(VLOOKUP($E:$E,'（居民）工资表-6月'!$E:$S,15,0),0)</f>
        <v>24000</v>
      </c>
      <c r="T9" s="91">
        <f>5000+IFERROR(VLOOKUP($E:$E,'（居民）工资表-6月'!$E:$T,16,0),0)</f>
        <v>15000</v>
      </c>
      <c r="U9" s="91">
        <f>Q9+IFERROR(VLOOKUP($E:$E,'（居民）工资表-6月'!$E:$U,17,0),0)</f>
        <v>4200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R9+IFERROR(VLOOKUP($E:$E,'（居民）工资表-6月'!$E:$AC,25,0),0)</f>
        <v>0</v>
      </c>
      <c r="AD9" s="93">
        <f t="shared" si="6"/>
        <v>4800</v>
      </c>
      <c r="AE9" s="94">
        <f>ROUND(MAX((AD9)*{0.03;0.1;0.2;0.25;0.3;0.35;0.45}-{0;2520;16920;31920;52920;85920;181920},0),2)</f>
        <v>144</v>
      </c>
      <c r="AF9" s="95">
        <f>IFERROR(VLOOKUP(E:E,'（居民）工资表-6月'!E:AF,28,0)+VLOOKUP(E:E,'（居民）工资表-6月'!E:AG,29,0),0)</f>
        <v>96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108</v>
      </c>
      <c r="C10" s="37"/>
      <c r="D10" s="37" t="s">
        <v>52</v>
      </c>
      <c r="E10" s="37" t="s">
        <v>116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L10+IFERROR(VLOOKUP($E:$E,'（居民）工资表-6月'!$E:$S,15,0),0)</f>
        <v>27000</v>
      </c>
      <c r="T10" s="91">
        <f>5000+IFERROR(VLOOKUP($E:$E,'（居民）工资表-6月'!$E:$T,16,0),0)</f>
        <v>15000</v>
      </c>
      <c r="U10" s="91">
        <f>Q10+IFERROR(VLOOKUP($E:$E,'（居民）工资表-6月'!$E:$U,17,0),0)</f>
        <v>4725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R10+IFERROR(VLOOKUP($E:$E,'（居民）工资表-6月'!$E:$AC,25,0),0)</f>
        <v>0</v>
      </c>
      <c r="AD10" s="93">
        <f t="shared" si="6"/>
        <v>7275</v>
      </c>
      <c r="AE10" s="94">
        <f>ROUND(MAX((AD10)*{0.03;0.1;0.2;0.25;0.3;0.35;0.45}-{0;2520;16920;31920;52920;85920;181920},0),2)</f>
        <v>218.25</v>
      </c>
      <c r="AF10" s="95">
        <f>IFERROR(VLOOKUP(E:E,'（居民）工资表-6月'!E:AF,28,0)+VLOOKUP(E:E,'（居民）工资表-6月'!E:AG,29,0),0)</f>
        <v>145.5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108</v>
      </c>
      <c r="C11" s="37"/>
      <c r="D11" s="37" t="s">
        <v>52</v>
      </c>
      <c r="E11" s="37" t="s">
        <v>117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L11+IFERROR(VLOOKUP($E:$E,'（居民）工资表-6月'!$E:$S,15,0),0)</f>
        <v>30000</v>
      </c>
      <c r="T11" s="91">
        <f>5000+IFERROR(VLOOKUP($E:$E,'（居民）工资表-6月'!$E:$T,16,0),0)</f>
        <v>15000</v>
      </c>
      <c r="U11" s="91">
        <f>Q11+IFERROR(VLOOKUP($E:$E,'（居民）工资表-6月'!$E:$U,17,0),0)</f>
        <v>5250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R11+IFERROR(VLOOKUP($E:$E,'（居民）工资表-6月'!$E:$AC,25,0),0)</f>
        <v>0</v>
      </c>
      <c r="AD11" s="93">
        <f t="shared" si="6"/>
        <v>9750</v>
      </c>
      <c r="AE11" s="94">
        <f>ROUND(MAX((AD11)*{0.03;0.1;0.2;0.25;0.3;0.35;0.45}-{0;2520;16920;31920;52920;85920;181920},0),2)</f>
        <v>292.5</v>
      </c>
      <c r="AF11" s="95">
        <f>IFERROR(VLOOKUP(E:E,'（居民）工资表-6月'!E:AF,28,0)+VLOOKUP(E:E,'（居民）工资表-6月'!E:AG,29,0),0)</f>
        <v>195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108</v>
      </c>
      <c r="C12" s="37"/>
      <c r="D12" s="37" t="s">
        <v>52</v>
      </c>
      <c r="E12" s="37" t="s">
        <v>118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L12+IFERROR(VLOOKUP($E:$E,'（居民）工资表-6月'!$E:$S,15,0),0)</f>
        <v>33000</v>
      </c>
      <c r="T12" s="91">
        <f>5000+IFERROR(VLOOKUP($E:$E,'（居民）工资表-6月'!$E:$T,16,0),0)</f>
        <v>15000</v>
      </c>
      <c r="U12" s="91">
        <f>Q12+IFERROR(VLOOKUP($E:$E,'（居民）工资表-6月'!$E:$U,17,0),0)</f>
        <v>5775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R12+IFERROR(VLOOKUP($E:$E,'（居民）工资表-6月'!$E:$AC,25,0),0)</f>
        <v>0</v>
      </c>
      <c r="AD12" s="93">
        <f t="shared" si="6"/>
        <v>12225</v>
      </c>
      <c r="AE12" s="94">
        <f>ROUND(MAX((AD12)*{0.03;0.1;0.2;0.25;0.3;0.35;0.45}-{0;2520;16920;31920;52920;85920;181920},0),2)</f>
        <v>366.75</v>
      </c>
      <c r="AF12" s="95">
        <f>IFERROR(VLOOKUP(E:E,'（居民）工资表-6月'!E:AF,28,0)+VLOOKUP(E:E,'（居民）工资表-6月'!E:AG,29,0),0)</f>
        <v>244.5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108</v>
      </c>
      <c r="C13" s="37"/>
      <c r="D13" s="37" t="s">
        <v>52</v>
      </c>
      <c r="E13" s="37" t="s">
        <v>119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L13+IFERROR(VLOOKUP($E:$E,'（居民）工资表-6月'!$E:$S,15,0),0)</f>
        <v>36000</v>
      </c>
      <c r="T13" s="91">
        <f>5000+IFERROR(VLOOKUP($E:$E,'（居民）工资表-6月'!$E:$T,16,0),0)</f>
        <v>15000</v>
      </c>
      <c r="U13" s="91">
        <f>Q13+IFERROR(VLOOKUP($E:$E,'（居民）工资表-6月'!$E:$U,17,0),0)</f>
        <v>6300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R13+IFERROR(VLOOKUP($E:$E,'（居民）工资表-6月'!$E:$AC,25,0),0)</f>
        <v>0</v>
      </c>
      <c r="AD13" s="93">
        <f t="shared" si="6"/>
        <v>14700</v>
      </c>
      <c r="AE13" s="94">
        <f>ROUND(MAX((AD13)*{0.03;0.1;0.2;0.25;0.3;0.35;0.45}-{0;2520;16920;31920;52920;85920;181920},0),2)</f>
        <v>441</v>
      </c>
      <c r="AF13" s="95">
        <f>IFERROR(VLOOKUP(E:E,'（居民）工资表-6月'!E:AF,28,0)+VLOOKUP(E:E,'（居民）工资表-6月'!E:AG,29,0),0)</f>
        <v>294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108</v>
      </c>
      <c r="C14" s="37"/>
      <c r="D14" s="37" t="s">
        <v>52</v>
      </c>
      <c r="E14" s="37" t="s">
        <v>120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L14+IFERROR(VLOOKUP($E:$E,'（居民）工资表-6月'!$E:$S,15,0),0)</f>
        <v>39000</v>
      </c>
      <c r="T14" s="91">
        <f>5000+IFERROR(VLOOKUP($E:$E,'（居民）工资表-6月'!$E:$T,16,0),0)</f>
        <v>15000</v>
      </c>
      <c r="U14" s="91">
        <f>Q14+IFERROR(VLOOKUP($E:$E,'（居民）工资表-6月'!$E:$U,17,0),0)</f>
        <v>6825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R14+IFERROR(VLOOKUP($E:$E,'（居民）工资表-6月'!$E:$AC,25,0),0)</f>
        <v>0</v>
      </c>
      <c r="AD14" s="93">
        <f t="shared" si="6"/>
        <v>17175</v>
      </c>
      <c r="AE14" s="94">
        <f>ROUND(MAX((AD14)*{0.03;0.1;0.2;0.25;0.3;0.35;0.45}-{0;2520;16920;31920;52920;85920;181920},0),2)</f>
        <v>515.25</v>
      </c>
      <c r="AF14" s="95">
        <f>IFERROR(VLOOKUP(E:E,'（居民）工资表-6月'!E:AF,28,0)+VLOOKUP(E:E,'（居民）工资表-6月'!E:AG,29,0),0)</f>
        <v>343.5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108</v>
      </c>
      <c r="C15" s="37"/>
      <c r="D15" s="37" t="s">
        <v>52</v>
      </c>
      <c r="E15" s="37" t="s">
        <v>121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L15+IFERROR(VLOOKUP($E:$E,'（居民）工资表-6月'!$E:$S,15,0),0)</f>
        <v>42000</v>
      </c>
      <c r="T15" s="91">
        <f>5000+IFERROR(VLOOKUP($E:$E,'（居民）工资表-6月'!$E:$T,16,0),0)</f>
        <v>15000</v>
      </c>
      <c r="U15" s="91">
        <f>Q15+IFERROR(VLOOKUP($E:$E,'（居民）工资表-6月'!$E:$U,17,0),0)</f>
        <v>7350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R15+IFERROR(VLOOKUP($E:$E,'（居民）工资表-6月'!$E:$AC,25,0),0)</f>
        <v>0</v>
      </c>
      <c r="AD15" s="93">
        <f t="shared" si="6"/>
        <v>19650</v>
      </c>
      <c r="AE15" s="94">
        <f>ROUND(MAX((AD15)*{0.03;0.1;0.2;0.25;0.3;0.35;0.45}-{0;2520;16920;31920;52920;85920;181920},0),2)</f>
        <v>589.5</v>
      </c>
      <c r="AF15" s="95">
        <f>IFERROR(VLOOKUP(E:E,'（居民）工资表-6月'!E:AF,28,0)+VLOOKUP(E:E,'（居民）工资表-6月'!E:AG,29,0),0)</f>
        <v>393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108</v>
      </c>
      <c r="C16" s="37"/>
      <c r="D16" s="37" t="s">
        <v>52</v>
      </c>
      <c r="E16" s="37" t="s">
        <v>122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L16+IFERROR(VLOOKUP($E:$E,'（居民）工资表-6月'!$E:$S,15,0),0)</f>
        <v>45000</v>
      </c>
      <c r="T16" s="91">
        <f>5000+IFERROR(VLOOKUP($E:$E,'（居民）工资表-6月'!$E:$T,16,0),0)</f>
        <v>15000</v>
      </c>
      <c r="U16" s="91">
        <f>Q16+IFERROR(VLOOKUP($E:$E,'（居民）工资表-6月'!$E:$U,17,0),0)</f>
        <v>7875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R16+IFERROR(VLOOKUP($E:$E,'（居民）工资表-6月'!$E:$AC,25,0),0)</f>
        <v>0</v>
      </c>
      <c r="AD16" s="93">
        <f t="shared" si="6"/>
        <v>22125</v>
      </c>
      <c r="AE16" s="94">
        <f>ROUND(MAX((AD16)*{0.03;0.1;0.2;0.25;0.3;0.35;0.45}-{0;2520;16920;31920;52920;85920;181920},0),2)</f>
        <v>663.75</v>
      </c>
      <c r="AF16" s="95">
        <f>IFERROR(VLOOKUP(E:E,'（居民）工资表-6月'!E:AF,28,0)+VLOOKUP(E:E,'（居民）工资表-6月'!E:AG,29,0),0)</f>
        <v>442.5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108</v>
      </c>
      <c r="C17" s="37"/>
      <c r="D17" s="37" t="s">
        <v>52</v>
      </c>
      <c r="E17" s="37" t="s">
        <v>123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L17+IFERROR(VLOOKUP($E:$E,'（居民）工资表-6月'!$E:$S,15,0),0)</f>
        <v>48000</v>
      </c>
      <c r="T17" s="91">
        <f>5000+IFERROR(VLOOKUP($E:$E,'（居民）工资表-6月'!$E:$T,16,0),0)</f>
        <v>15000</v>
      </c>
      <c r="U17" s="91">
        <f>Q17+IFERROR(VLOOKUP($E:$E,'（居民）工资表-6月'!$E:$U,17,0),0)</f>
        <v>8400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R17+IFERROR(VLOOKUP($E:$E,'（居民）工资表-6月'!$E:$AC,25,0),0)</f>
        <v>0</v>
      </c>
      <c r="AD17" s="93">
        <f t="shared" si="6"/>
        <v>24600</v>
      </c>
      <c r="AE17" s="94">
        <f>ROUND(MAX((AD17)*{0.03;0.1;0.2;0.25;0.3;0.35;0.45}-{0;2520;16920;31920;52920;85920;181920},0),2)</f>
        <v>738</v>
      </c>
      <c r="AF17" s="95">
        <f>IFERROR(VLOOKUP(E:E,'（居民）工资表-6月'!E:AF,28,0)+VLOOKUP(E:E,'（居民）工资表-6月'!E:AG,29,0),0)</f>
        <v>492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108</v>
      </c>
      <c r="C18" s="37"/>
      <c r="D18" s="37" t="s">
        <v>52</v>
      </c>
      <c r="E18" s="37" t="s">
        <v>124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L18+IFERROR(VLOOKUP($E:$E,'（居民）工资表-6月'!$E:$S,15,0),0)</f>
        <v>51000</v>
      </c>
      <c r="T18" s="91">
        <f>5000+IFERROR(VLOOKUP($E:$E,'（居民）工资表-6月'!$E:$T,16,0),0)</f>
        <v>15000</v>
      </c>
      <c r="U18" s="91">
        <f>Q18+IFERROR(VLOOKUP($E:$E,'（居民）工资表-6月'!$E:$U,17,0),0)</f>
        <v>8925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R18+IFERROR(VLOOKUP($E:$E,'（居民）工资表-6月'!$E:$AC,25,0),0)</f>
        <v>0</v>
      </c>
      <c r="AD18" s="93">
        <f t="shared" si="6"/>
        <v>27075</v>
      </c>
      <c r="AE18" s="94">
        <f>ROUND(MAX((AD18)*{0.03;0.1;0.2;0.25;0.3;0.35;0.45}-{0;2520;16920;31920;52920;85920;181920},0),2)</f>
        <v>812.25</v>
      </c>
      <c r="AF18" s="95">
        <f>IFERROR(VLOOKUP(E:E,'（居民）工资表-6月'!E:AF,28,0)+VLOOKUP(E:E,'（居民）工资表-6月'!E:AG,29,0),0)</f>
        <v>541.5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108</v>
      </c>
      <c r="C19" s="37"/>
      <c r="D19" s="37" t="s">
        <v>52</v>
      </c>
      <c r="E19" s="37" t="s">
        <v>125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L19+IFERROR(VLOOKUP($E:$E,'（居民）工资表-6月'!$E:$S,15,0),0)</f>
        <v>54000</v>
      </c>
      <c r="T19" s="91">
        <f>5000+IFERROR(VLOOKUP($E:$E,'（居民）工资表-6月'!$E:$T,16,0),0)</f>
        <v>15000</v>
      </c>
      <c r="U19" s="91">
        <f>Q19+IFERROR(VLOOKUP($E:$E,'（居民）工资表-6月'!$E:$U,17,0),0)</f>
        <v>9450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R19+IFERROR(VLOOKUP($E:$E,'（居民）工资表-6月'!$E:$AC,25,0),0)</f>
        <v>0</v>
      </c>
      <c r="AD19" s="93">
        <f t="shared" si="6"/>
        <v>29550</v>
      </c>
      <c r="AE19" s="94">
        <f>ROUND(MAX((AD19)*{0.03;0.1;0.2;0.25;0.3;0.35;0.45}-{0;2520;16920;31920;52920;85920;181920},0),2)</f>
        <v>886.5</v>
      </c>
      <c r="AF19" s="95">
        <f>IFERROR(VLOOKUP(E:E,'（居民）工资表-6月'!E:AF,28,0)+VLOOKUP(E:E,'（居民）工资表-6月'!E:AG,29,0),0)</f>
        <v>591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108</v>
      </c>
      <c r="C20" s="37"/>
      <c r="D20" s="37" t="s">
        <v>52</v>
      </c>
      <c r="E20" s="37" t="s">
        <v>126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L20+IFERROR(VLOOKUP($E:$E,'（居民）工资表-6月'!$E:$S,15,0),0)</f>
        <v>57000</v>
      </c>
      <c r="T20" s="91">
        <f>5000+IFERROR(VLOOKUP($E:$E,'（居民）工资表-6月'!$E:$T,16,0),0)</f>
        <v>15000</v>
      </c>
      <c r="U20" s="91">
        <f>Q20+IFERROR(VLOOKUP($E:$E,'（居民）工资表-6月'!$E:$U,17,0),0)</f>
        <v>9975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R20+IFERROR(VLOOKUP($E:$E,'（居民）工资表-6月'!$E:$AC,25,0),0)</f>
        <v>0</v>
      </c>
      <c r="AD20" s="93">
        <f t="shared" si="6"/>
        <v>32025</v>
      </c>
      <c r="AE20" s="94">
        <f>ROUND(MAX((AD20)*{0.03;0.1;0.2;0.25;0.3;0.35;0.45}-{0;2520;16920;31920;52920;85920;181920},0),2)</f>
        <v>960.75</v>
      </c>
      <c r="AF20" s="95">
        <f>IFERROR(VLOOKUP(E:E,'（居民）工资表-6月'!E:AF,28,0)+VLOOKUP(E:E,'（居民）工资表-6月'!E:AG,29,0),0)</f>
        <v>640.5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108</v>
      </c>
      <c r="C21" s="37"/>
      <c r="D21" s="37" t="s">
        <v>52</v>
      </c>
      <c r="E21" s="37" t="s">
        <v>127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L21+IFERROR(VLOOKUP($E:$E,'（居民）工资表-6月'!$E:$S,15,0),0)</f>
        <v>60000</v>
      </c>
      <c r="T21" s="91">
        <f>5000+IFERROR(VLOOKUP($E:$E,'（居民）工资表-6月'!$E:$T,16,0),0)</f>
        <v>15000</v>
      </c>
      <c r="U21" s="91">
        <f>Q21+IFERROR(VLOOKUP($E:$E,'（居民）工资表-6月'!$E:$U,17,0),0)</f>
        <v>10500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R21+IFERROR(VLOOKUP($E:$E,'（居民）工资表-6月'!$E:$AC,25,0),0)</f>
        <v>0</v>
      </c>
      <c r="AD21" s="93">
        <f t="shared" si="6"/>
        <v>34500</v>
      </c>
      <c r="AE21" s="94">
        <f>ROUND(MAX((AD21)*{0.03;0.1;0.2;0.25;0.3;0.35;0.45}-{0;2520;16920;31920;52920;85920;181920},0),2)</f>
        <v>1035</v>
      </c>
      <c r="AF21" s="95">
        <f>IFERROR(VLOOKUP(E:E,'（居民）工资表-6月'!E:AF,28,0)+VLOOKUP(E:E,'（居民）工资表-6月'!E:AG,29,0),0)</f>
        <v>690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108</v>
      </c>
      <c r="C22" s="37"/>
      <c r="D22" s="37" t="s">
        <v>52</v>
      </c>
      <c r="E22" s="37" t="s">
        <v>128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L22+IFERROR(VLOOKUP($E:$E,'（居民）工资表-6月'!$E:$S,15,0),0)</f>
        <v>63000</v>
      </c>
      <c r="T22" s="91">
        <f>5000+IFERROR(VLOOKUP($E:$E,'（居民）工资表-6月'!$E:$T,16,0),0)</f>
        <v>15000</v>
      </c>
      <c r="U22" s="91">
        <f>Q22+IFERROR(VLOOKUP($E:$E,'（居民）工资表-6月'!$E:$U,17,0),0)</f>
        <v>11025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R22+IFERROR(VLOOKUP($E:$E,'（居民）工资表-6月'!$E:$AC,25,0),0)</f>
        <v>0</v>
      </c>
      <c r="AD22" s="93">
        <f t="shared" si="6"/>
        <v>36975</v>
      </c>
      <c r="AE22" s="94">
        <f>ROUND(MAX((AD22)*{0.03;0.1;0.2;0.25;0.3;0.35;0.45}-{0;2520;16920;31920;52920;85920;181920},0),2)</f>
        <v>1177.5</v>
      </c>
      <c r="AF22" s="95">
        <f>IFERROR(VLOOKUP(E:E,'（居民）工资表-6月'!E:AF,28,0)+VLOOKUP(E:E,'（居民）工资表-6月'!E:AG,29,0),0)</f>
        <v>739.5</v>
      </c>
      <c r="AG22" s="95">
        <f t="shared" si="7"/>
        <v>438</v>
      </c>
      <c r="AH22" s="102">
        <f t="shared" si="8"/>
        <v>16887</v>
      </c>
      <c r="AI22" s="103"/>
      <c r="AJ22" s="102">
        <f t="shared" si="9"/>
        <v>16887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108</v>
      </c>
      <c r="C23" s="37"/>
      <c r="D23" s="37" t="s">
        <v>52</v>
      </c>
      <c r="E23" s="37" t="s">
        <v>129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L23+IFERROR(VLOOKUP($E:$E,'（居民）工资表-6月'!$E:$S,15,0),0)</f>
        <v>66000</v>
      </c>
      <c r="T23" s="91">
        <f>5000+IFERROR(VLOOKUP($E:$E,'（居民）工资表-6月'!$E:$T,16,0),0)</f>
        <v>15000</v>
      </c>
      <c r="U23" s="91">
        <f>Q23+IFERROR(VLOOKUP($E:$E,'（居民）工资表-6月'!$E:$U,17,0),0)</f>
        <v>11550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R23+IFERROR(VLOOKUP($E:$E,'（居民）工资表-6月'!$E:$AC,25,0),0)</f>
        <v>0</v>
      </c>
      <c r="AD23" s="93">
        <f t="shared" si="6"/>
        <v>39450</v>
      </c>
      <c r="AE23" s="94">
        <f>ROUND(MAX((AD23)*{0.03;0.1;0.2;0.25;0.3;0.35;0.45}-{0;2520;16920;31920;52920;85920;181920},0),2)</f>
        <v>1425</v>
      </c>
      <c r="AF23" s="95">
        <f>IFERROR(VLOOKUP(E:E,'（居民）工资表-6月'!E:AF,28,0)+VLOOKUP(E:E,'（居民）工资表-6月'!E:AG,29,0),0)</f>
        <v>789</v>
      </c>
      <c r="AG23" s="95">
        <f t="shared" si="7"/>
        <v>636</v>
      </c>
      <c r="AH23" s="102">
        <f t="shared" si="8"/>
        <v>17514</v>
      </c>
      <c r="AI23" s="103"/>
      <c r="AJ23" s="102">
        <f t="shared" si="9"/>
        <v>17514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750000</v>
      </c>
      <c r="T24" s="74">
        <f t="shared" si="12"/>
        <v>300000</v>
      </c>
      <c r="U24" s="74">
        <f t="shared" si="12"/>
        <v>131250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318750</v>
      </c>
      <c r="AE24" s="74">
        <f t="shared" si="12"/>
        <v>10335.75</v>
      </c>
      <c r="AF24" s="74">
        <f t="shared" si="12"/>
        <v>6684</v>
      </c>
      <c r="AG24" s="74">
        <f t="shared" si="12"/>
        <v>3651.75</v>
      </c>
      <c r="AH24" s="74">
        <f t="shared" si="12"/>
        <v>202598.25</v>
      </c>
      <c r="AI24" s="105">
        <f t="shared" si="12"/>
        <v>0</v>
      </c>
      <c r="AJ24" s="74">
        <f t="shared" si="12"/>
        <v>202598.25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202598.25</v>
      </c>
      <c r="C29" s="48">
        <f>AG24</f>
        <v>3651.75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108</v>
      </c>
      <c r="C4" s="37"/>
      <c r="D4" s="37" t="s">
        <v>52</v>
      </c>
      <c r="E4" s="37" t="s">
        <v>110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L4+IFERROR(VLOOKUP($E:$E,'（居民）工资表-7月'!$E:$S,15,0),0)</f>
        <v>12000</v>
      </c>
      <c r="T4" s="91">
        <f>5000+IFERROR(VLOOKUP($E:$E,'（居民）工资表-7月'!$E:$T,16,0),0)</f>
        <v>20000</v>
      </c>
      <c r="U4" s="91">
        <f>Q4+IFERROR(VLOOKUP($E:$E,'（居民）工资表-7月'!$E:$U,17,0),0)</f>
        <v>2100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3">
        <f>ROUND(S4-T4-U4-AB4-AC4,2)</f>
        <v>-10100</v>
      </c>
      <c r="AE4" s="94">
        <f>ROUND(MAX((AD4)*{0.03;0.1;0.2;0.25;0.3;0.35;0.45}-{0;2520;16920;31920;52920;85920;181920},0),2)</f>
        <v>0</v>
      </c>
      <c r="AF4" s="95">
        <f>IFERROR(VLOOKUP(E:E,'（居民）工资表-7月'!E:AF,28,0)+VLOOKUP(E:E,'（居民）工资表-7月'!E:AG,29,0),0)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108</v>
      </c>
      <c r="C5" s="37"/>
      <c r="D5" s="37" t="s">
        <v>52</v>
      </c>
      <c r="E5" s="37" t="s">
        <v>111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L5+IFERROR(VLOOKUP($E:$E,'（居民）工资表-7月'!$E:$S,15,0),0)</f>
        <v>16000</v>
      </c>
      <c r="T5" s="91">
        <f>5000+IFERROR(VLOOKUP($E:$E,'（居民）工资表-7月'!$E:$T,16,0),0)</f>
        <v>20000</v>
      </c>
      <c r="U5" s="91">
        <f>Q5+IFERROR(VLOOKUP($E:$E,'（居民）工资表-7月'!$E:$U,17,0),0)</f>
        <v>2800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R5+IFERROR(VLOOKUP($E:$E,'（居民）工资表-7月'!$E:$AC,25,0),0)</f>
        <v>0</v>
      </c>
      <c r="AD5" s="93">
        <f t="shared" ref="AD5:AD23" si="6">ROUND(S5-T5-U5-AB5-AC5,2)</f>
        <v>-6800</v>
      </c>
      <c r="AE5" s="94">
        <f>ROUND(MAX((AD5)*{0.03;0.1;0.2;0.25;0.3;0.35;0.45}-{0;2520;16920;31920;52920;85920;181920},0),2)</f>
        <v>0</v>
      </c>
      <c r="AF5" s="95">
        <f>IFERROR(VLOOKUP(E:E,'（居民）工资表-7月'!E:AF,28,0)+VLOOKUP(E:E,'（居民）工资表-7月'!E:AG,29,0),0)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108</v>
      </c>
      <c r="C6" s="37"/>
      <c r="D6" s="37" t="s">
        <v>52</v>
      </c>
      <c r="E6" s="37" t="s">
        <v>112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L6+IFERROR(VLOOKUP($E:$E,'（居民）工资表-7月'!$E:$S,15,0),0)</f>
        <v>20000</v>
      </c>
      <c r="T6" s="91">
        <f>5000+IFERROR(VLOOKUP($E:$E,'（居民）工资表-7月'!$E:$T,16,0),0)</f>
        <v>20000</v>
      </c>
      <c r="U6" s="91">
        <f>Q6+IFERROR(VLOOKUP($E:$E,'（居民）工资表-7月'!$E:$U,17,0),0)</f>
        <v>3500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R6+IFERROR(VLOOKUP($E:$E,'（居民）工资表-7月'!$E:$AC,25,0),0)</f>
        <v>0</v>
      </c>
      <c r="AD6" s="93">
        <f t="shared" si="6"/>
        <v>-3500</v>
      </c>
      <c r="AE6" s="94">
        <f>ROUND(MAX((AD6)*{0.03;0.1;0.2;0.25;0.3;0.35;0.45}-{0;2520;16920;31920;52920;85920;181920},0),2)</f>
        <v>0</v>
      </c>
      <c r="AF6" s="95">
        <f>IFERROR(VLOOKUP(E:E,'（居民）工资表-7月'!E:AF,28,0)+VLOOKUP(E:E,'（居民）工资表-7月'!E:AG,29,0),0)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108</v>
      </c>
      <c r="C7" s="37"/>
      <c r="D7" s="37" t="s">
        <v>52</v>
      </c>
      <c r="E7" s="37" t="s">
        <v>113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L7+IFERROR(VLOOKUP($E:$E,'（居民）工资表-7月'!$E:$S,15,0),0)</f>
        <v>24000</v>
      </c>
      <c r="T7" s="91">
        <f>5000+IFERROR(VLOOKUP($E:$E,'（居民）工资表-7月'!$E:$T,16,0),0)</f>
        <v>20000</v>
      </c>
      <c r="U7" s="91">
        <f>Q7+IFERROR(VLOOKUP($E:$E,'（居民）工资表-7月'!$E:$U,17,0),0)</f>
        <v>4200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R7+IFERROR(VLOOKUP($E:$E,'（居民）工资表-7月'!$E:$AC,25,0),0)</f>
        <v>0</v>
      </c>
      <c r="AD7" s="93">
        <f t="shared" si="6"/>
        <v>-200</v>
      </c>
      <c r="AE7" s="94">
        <f>ROUND(MAX((AD7)*{0.03;0.1;0.2;0.25;0.3;0.35;0.45}-{0;2520;16920;31920;52920;85920;181920},0),2)</f>
        <v>0</v>
      </c>
      <c r="AF7" s="95">
        <f>IFERROR(VLOOKUP(E:E,'（居民）工资表-7月'!E:AF,28,0)+VLOOKUP(E:E,'（居民）工资表-7月'!E:AG,29,0),0)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108</v>
      </c>
      <c r="C8" s="37"/>
      <c r="D8" s="37" t="s">
        <v>52</v>
      </c>
      <c r="E8" s="37" t="s">
        <v>114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L8+IFERROR(VLOOKUP($E:$E,'（居民）工资表-7月'!$E:$S,15,0),0)</f>
        <v>28000</v>
      </c>
      <c r="T8" s="91">
        <f>5000+IFERROR(VLOOKUP($E:$E,'（居民）工资表-7月'!$E:$T,16,0),0)</f>
        <v>20000</v>
      </c>
      <c r="U8" s="91">
        <f>Q8+IFERROR(VLOOKUP($E:$E,'（居民）工资表-7月'!$E:$U,17,0),0)</f>
        <v>4900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R8+IFERROR(VLOOKUP($E:$E,'（居民）工资表-7月'!$E:$AC,25,0),0)</f>
        <v>0</v>
      </c>
      <c r="AD8" s="93">
        <f t="shared" si="6"/>
        <v>3100</v>
      </c>
      <c r="AE8" s="94">
        <f>ROUND(MAX((AD8)*{0.03;0.1;0.2;0.25;0.3;0.35;0.45}-{0;2520;16920;31920;52920;85920;181920},0),2)</f>
        <v>93</v>
      </c>
      <c r="AF8" s="95">
        <f>IFERROR(VLOOKUP(E:E,'（居民）工资表-7月'!E:AF,28,0)+VLOOKUP(E:E,'（居民）工资表-7月'!E:AG,29,0),0)</f>
        <v>69.75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108</v>
      </c>
      <c r="C9" s="37"/>
      <c r="D9" s="37" t="s">
        <v>52</v>
      </c>
      <c r="E9" s="37" t="s">
        <v>115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L9+IFERROR(VLOOKUP($E:$E,'（居民）工资表-7月'!$E:$S,15,0),0)</f>
        <v>32000</v>
      </c>
      <c r="T9" s="91">
        <f>5000+IFERROR(VLOOKUP($E:$E,'（居民）工资表-7月'!$E:$T,16,0),0)</f>
        <v>20000</v>
      </c>
      <c r="U9" s="91">
        <f>Q9+IFERROR(VLOOKUP($E:$E,'（居民）工资表-7月'!$E:$U,17,0),0)</f>
        <v>5600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R9+IFERROR(VLOOKUP($E:$E,'（居民）工资表-7月'!$E:$AC,25,0),0)</f>
        <v>0</v>
      </c>
      <c r="AD9" s="93">
        <f t="shared" si="6"/>
        <v>6400</v>
      </c>
      <c r="AE9" s="94">
        <f>ROUND(MAX((AD9)*{0.03;0.1;0.2;0.25;0.3;0.35;0.45}-{0;2520;16920;31920;52920;85920;181920},0),2)</f>
        <v>192</v>
      </c>
      <c r="AF9" s="95">
        <f>IFERROR(VLOOKUP(E:E,'（居民）工资表-7月'!E:AF,28,0)+VLOOKUP(E:E,'（居民）工资表-7月'!E:AG,29,0),0)</f>
        <v>144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108</v>
      </c>
      <c r="C10" s="37"/>
      <c r="D10" s="37" t="s">
        <v>52</v>
      </c>
      <c r="E10" s="37" t="s">
        <v>116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L10+IFERROR(VLOOKUP($E:$E,'（居民）工资表-7月'!$E:$S,15,0),0)</f>
        <v>36000</v>
      </c>
      <c r="T10" s="91">
        <f>5000+IFERROR(VLOOKUP($E:$E,'（居民）工资表-7月'!$E:$T,16,0),0)</f>
        <v>20000</v>
      </c>
      <c r="U10" s="91">
        <f>Q10+IFERROR(VLOOKUP($E:$E,'（居民）工资表-7月'!$E:$U,17,0),0)</f>
        <v>6300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R10+IFERROR(VLOOKUP($E:$E,'（居民）工资表-7月'!$E:$AC,25,0),0)</f>
        <v>0</v>
      </c>
      <c r="AD10" s="93">
        <f t="shared" si="6"/>
        <v>9700</v>
      </c>
      <c r="AE10" s="94">
        <f>ROUND(MAX((AD10)*{0.03;0.1;0.2;0.25;0.3;0.35;0.45}-{0;2520;16920;31920;52920;85920;181920},0),2)</f>
        <v>291</v>
      </c>
      <c r="AF10" s="95">
        <f>IFERROR(VLOOKUP(E:E,'（居民）工资表-7月'!E:AF,28,0)+VLOOKUP(E:E,'（居民）工资表-7月'!E:AG,29,0),0)</f>
        <v>218.25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108</v>
      </c>
      <c r="C11" s="37"/>
      <c r="D11" s="37" t="s">
        <v>52</v>
      </c>
      <c r="E11" s="37" t="s">
        <v>117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L11+IFERROR(VLOOKUP($E:$E,'（居民）工资表-7月'!$E:$S,15,0),0)</f>
        <v>40000</v>
      </c>
      <c r="T11" s="91">
        <f>5000+IFERROR(VLOOKUP($E:$E,'（居民）工资表-7月'!$E:$T,16,0),0)</f>
        <v>20000</v>
      </c>
      <c r="U11" s="91">
        <f>Q11+IFERROR(VLOOKUP($E:$E,'（居民）工资表-7月'!$E:$U,17,0),0)</f>
        <v>7000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R11+IFERROR(VLOOKUP($E:$E,'（居民）工资表-7月'!$E:$AC,25,0),0)</f>
        <v>0</v>
      </c>
      <c r="AD11" s="93">
        <f t="shared" si="6"/>
        <v>13000</v>
      </c>
      <c r="AE11" s="94">
        <f>ROUND(MAX((AD11)*{0.03;0.1;0.2;0.25;0.3;0.35;0.45}-{0;2520;16920;31920;52920;85920;181920},0),2)</f>
        <v>390</v>
      </c>
      <c r="AF11" s="95">
        <f>IFERROR(VLOOKUP(E:E,'（居民）工资表-7月'!E:AF,28,0)+VLOOKUP(E:E,'（居民）工资表-7月'!E:AG,29,0),0)</f>
        <v>292.5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108</v>
      </c>
      <c r="C12" s="37"/>
      <c r="D12" s="37" t="s">
        <v>52</v>
      </c>
      <c r="E12" s="37" t="s">
        <v>118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L12+IFERROR(VLOOKUP($E:$E,'（居民）工资表-7月'!$E:$S,15,0),0)</f>
        <v>44000</v>
      </c>
      <c r="T12" s="91">
        <f>5000+IFERROR(VLOOKUP($E:$E,'（居民）工资表-7月'!$E:$T,16,0),0)</f>
        <v>20000</v>
      </c>
      <c r="U12" s="91">
        <f>Q12+IFERROR(VLOOKUP($E:$E,'（居民）工资表-7月'!$E:$U,17,0),0)</f>
        <v>7700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R12+IFERROR(VLOOKUP($E:$E,'（居民）工资表-7月'!$E:$AC,25,0),0)</f>
        <v>0</v>
      </c>
      <c r="AD12" s="93">
        <f t="shared" si="6"/>
        <v>16300</v>
      </c>
      <c r="AE12" s="94">
        <f>ROUND(MAX((AD12)*{0.03;0.1;0.2;0.25;0.3;0.35;0.45}-{0;2520;16920;31920;52920;85920;181920},0),2)</f>
        <v>489</v>
      </c>
      <c r="AF12" s="95">
        <f>IFERROR(VLOOKUP(E:E,'（居民）工资表-7月'!E:AF,28,0)+VLOOKUP(E:E,'（居民）工资表-7月'!E:AG,29,0),0)</f>
        <v>366.75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108</v>
      </c>
      <c r="C13" s="37"/>
      <c r="D13" s="37" t="s">
        <v>52</v>
      </c>
      <c r="E13" s="37" t="s">
        <v>119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L13+IFERROR(VLOOKUP($E:$E,'（居民）工资表-7月'!$E:$S,15,0),0)</f>
        <v>48000</v>
      </c>
      <c r="T13" s="91">
        <f>5000+IFERROR(VLOOKUP($E:$E,'（居民）工资表-7月'!$E:$T,16,0),0)</f>
        <v>20000</v>
      </c>
      <c r="U13" s="91">
        <f>Q13+IFERROR(VLOOKUP($E:$E,'（居民）工资表-7月'!$E:$U,17,0),0)</f>
        <v>8400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R13+IFERROR(VLOOKUP($E:$E,'（居民）工资表-7月'!$E:$AC,25,0),0)</f>
        <v>0</v>
      </c>
      <c r="AD13" s="93">
        <f t="shared" si="6"/>
        <v>19600</v>
      </c>
      <c r="AE13" s="94">
        <f>ROUND(MAX((AD13)*{0.03;0.1;0.2;0.25;0.3;0.35;0.45}-{0;2520;16920;31920;52920;85920;181920},0),2)</f>
        <v>588</v>
      </c>
      <c r="AF13" s="95">
        <f>IFERROR(VLOOKUP(E:E,'（居民）工资表-7月'!E:AF,28,0)+VLOOKUP(E:E,'（居民）工资表-7月'!E:AG,29,0),0)</f>
        <v>441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108</v>
      </c>
      <c r="C14" s="37"/>
      <c r="D14" s="37" t="s">
        <v>52</v>
      </c>
      <c r="E14" s="37" t="s">
        <v>120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L14+IFERROR(VLOOKUP($E:$E,'（居民）工资表-7月'!$E:$S,15,0),0)</f>
        <v>52000</v>
      </c>
      <c r="T14" s="91">
        <f>5000+IFERROR(VLOOKUP($E:$E,'（居民）工资表-7月'!$E:$T,16,0),0)</f>
        <v>20000</v>
      </c>
      <c r="U14" s="91">
        <f>Q14+IFERROR(VLOOKUP($E:$E,'（居民）工资表-7月'!$E:$U,17,0),0)</f>
        <v>9100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R14+IFERROR(VLOOKUP($E:$E,'（居民）工资表-7月'!$E:$AC,25,0),0)</f>
        <v>0</v>
      </c>
      <c r="AD14" s="93">
        <f t="shared" si="6"/>
        <v>22900</v>
      </c>
      <c r="AE14" s="94">
        <f>ROUND(MAX((AD14)*{0.03;0.1;0.2;0.25;0.3;0.35;0.45}-{0;2520;16920;31920;52920;85920;181920},0),2)</f>
        <v>687</v>
      </c>
      <c r="AF14" s="95">
        <f>IFERROR(VLOOKUP(E:E,'（居民）工资表-7月'!E:AF,28,0)+VLOOKUP(E:E,'（居民）工资表-7月'!E:AG,29,0),0)</f>
        <v>515.25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108</v>
      </c>
      <c r="C15" s="37"/>
      <c r="D15" s="37" t="s">
        <v>52</v>
      </c>
      <c r="E15" s="37" t="s">
        <v>121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L15+IFERROR(VLOOKUP($E:$E,'（居民）工资表-7月'!$E:$S,15,0),0)</f>
        <v>56000</v>
      </c>
      <c r="T15" s="91">
        <f>5000+IFERROR(VLOOKUP($E:$E,'（居民）工资表-7月'!$E:$T,16,0),0)</f>
        <v>20000</v>
      </c>
      <c r="U15" s="91">
        <f>Q15+IFERROR(VLOOKUP($E:$E,'（居民）工资表-7月'!$E:$U,17,0),0)</f>
        <v>9800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R15+IFERROR(VLOOKUP($E:$E,'（居民）工资表-7月'!$E:$AC,25,0),0)</f>
        <v>0</v>
      </c>
      <c r="AD15" s="93">
        <f t="shared" si="6"/>
        <v>26200</v>
      </c>
      <c r="AE15" s="94">
        <f>ROUND(MAX((AD15)*{0.03;0.1;0.2;0.25;0.3;0.35;0.45}-{0;2520;16920;31920;52920;85920;181920},0),2)</f>
        <v>786</v>
      </c>
      <c r="AF15" s="95">
        <f>IFERROR(VLOOKUP(E:E,'（居民）工资表-7月'!E:AF,28,0)+VLOOKUP(E:E,'（居民）工资表-7月'!E:AG,29,0),0)</f>
        <v>589.5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108</v>
      </c>
      <c r="C16" s="37"/>
      <c r="D16" s="37" t="s">
        <v>52</v>
      </c>
      <c r="E16" s="37" t="s">
        <v>122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L16+IFERROR(VLOOKUP($E:$E,'（居民）工资表-7月'!$E:$S,15,0),0)</f>
        <v>60000</v>
      </c>
      <c r="T16" s="91">
        <f>5000+IFERROR(VLOOKUP($E:$E,'（居民）工资表-7月'!$E:$T,16,0),0)</f>
        <v>20000</v>
      </c>
      <c r="U16" s="91">
        <f>Q16+IFERROR(VLOOKUP($E:$E,'（居民）工资表-7月'!$E:$U,17,0),0)</f>
        <v>10500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R16+IFERROR(VLOOKUP($E:$E,'（居民）工资表-7月'!$E:$AC,25,0),0)</f>
        <v>0</v>
      </c>
      <c r="AD16" s="93">
        <f t="shared" si="6"/>
        <v>29500</v>
      </c>
      <c r="AE16" s="94">
        <f>ROUND(MAX((AD16)*{0.03;0.1;0.2;0.25;0.3;0.35;0.45}-{0;2520;16920;31920;52920;85920;181920},0),2)</f>
        <v>885</v>
      </c>
      <c r="AF16" s="95">
        <f>IFERROR(VLOOKUP(E:E,'（居民）工资表-7月'!E:AF,28,0)+VLOOKUP(E:E,'（居民）工资表-7月'!E:AG,29,0),0)</f>
        <v>663.75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108</v>
      </c>
      <c r="C17" s="37"/>
      <c r="D17" s="37" t="s">
        <v>52</v>
      </c>
      <c r="E17" s="37" t="s">
        <v>123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L17+IFERROR(VLOOKUP($E:$E,'（居民）工资表-7月'!$E:$S,15,0),0)</f>
        <v>64000</v>
      </c>
      <c r="T17" s="91">
        <f>5000+IFERROR(VLOOKUP($E:$E,'（居民）工资表-7月'!$E:$T,16,0),0)</f>
        <v>20000</v>
      </c>
      <c r="U17" s="91">
        <f>Q17+IFERROR(VLOOKUP($E:$E,'（居民）工资表-7月'!$E:$U,17,0),0)</f>
        <v>11200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R17+IFERROR(VLOOKUP($E:$E,'（居民）工资表-7月'!$E:$AC,25,0),0)</f>
        <v>0</v>
      </c>
      <c r="AD17" s="93">
        <f t="shared" si="6"/>
        <v>32800</v>
      </c>
      <c r="AE17" s="94">
        <f>ROUND(MAX((AD17)*{0.03;0.1;0.2;0.25;0.3;0.35;0.45}-{0;2520;16920;31920;52920;85920;181920},0),2)</f>
        <v>984</v>
      </c>
      <c r="AF17" s="95">
        <f>IFERROR(VLOOKUP(E:E,'（居民）工资表-7月'!E:AF,28,0)+VLOOKUP(E:E,'（居民）工资表-7月'!E:AG,29,0),0)</f>
        <v>738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108</v>
      </c>
      <c r="C18" s="37"/>
      <c r="D18" s="37" t="s">
        <v>52</v>
      </c>
      <c r="E18" s="37" t="s">
        <v>124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L18+IFERROR(VLOOKUP($E:$E,'（居民）工资表-7月'!$E:$S,15,0),0)</f>
        <v>68000</v>
      </c>
      <c r="T18" s="91">
        <f>5000+IFERROR(VLOOKUP($E:$E,'（居民）工资表-7月'!$E:$T,16,0),0)</f>
        <v>20000</v>
      </c>
      <c r="U18" s="91">
        <f>Q18+IFERROR(VLOOKUP($E:$E,'（居民）工资表-7月'!$E:$U,17,0),0)</f>
        <v>11900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R18+IFERROR(VLOOKUP($E:$E,'（居民）工资表-7月'!$E:$AC,25,0),0)</f>
        <v>0</v>
      </c>
      <c r="AD18" s="93">
        <f t="shared" si="6"/>
        <v>36100</v>
      </c>
      <c r="AE18" s="94">
        <f>ROUND(MAX((AD18)*{0.03;0.1;0.2;0.25;0.3;0.35;0.45}-{0;2520;16920;31920;52920;85920;181920},0),2)</f>
        <v>1090</v>
      </c>
      <c r="AF18" s="95">
        <f>IFERROR(VLOOKUP(E:E,'（居民）工资表-7月'!E:AF,28,0)+VLOOKUP(E:E,'（居民）工资表-7月'!E:AG,29,0),0)</f>
        <v>812.25</v>
      </c>
      <c r="AG18" s="95">
        <f t="shared" si="7"/>
        <v>277.75</v>
      </c>
      <c r="AH18" s="102">
        <f t="shared" si="8"/>
        <v>13747.25</v>
      </c>
      <c r="AI18" s="103"/>
      <c r="AJ18" s="102">
        <f t="shared" si="9"/>
        <v>13747.25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108</v>
      </c>
      <c r="C19" s="37"/>
      <c r="D19" s="37" t="s">
        <v>52</v>
      </c>
      <c r="E19" s="37" t="s">
        <v>125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L19+IFERROR(VLOOKUP($E:$E,'（居民）工资表-7月'!$E:$S,15,0),0)</f>
        <v>72000</v>
      </c>
      <c r="T19" s="91">
        <f>5000+IFERROR(VLOOKUP($E:$E,'（居民）工资表-7月'!$E:$T,16,0),0)</f>
        <v>20000</v>
      </c>
      <c r="U19" s="91">
        <f>Q19+IFERROR(VLOOKUP($E:$E,'（居民）工资表-7月'!$E:$U,17,0),0)</f>
        <v>12600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R19+IFERROR(VLOOKUP($E:$E,'（居民）工资表-7月'!$E:$AC,25,0),0)</f>
        <v>0</v>
      </c>
      <c r="AD19" s="93">
        <f t="shared" si="6"/>
        <v>39400</v>
      </c>
      <c r="AE19" s="94">
        <f>ROUND(MAX((AD19)*{0.03;0.1;0.2;0.25;0.3;0.35;0.45}-{0;2520;16920;31920;52920;85920;181920},0),2)</f>
        <v>1420</v>
      </c>
      <c r="AF19" s="95">
        <f>IFERROR(VLOOKUP(E:E,'（居民）工资表-7月'!E:AF,28,0)+VLOOKUP(E:E,'（居民）工资表-7月'!E:AG,29,0),0)</f>
        <v>886.5</v>
      </c>
      <c r="AG19" s="95">
        <f t="shared" si="7"/>
        <v>533.5</v>
      </c>
      <c r="AH19" s="102">
        <f t="shared" si="8"/>
        <v>14316.5</v>
      </c>
      <c r="AI19" s="103"/>
      <c r="AJ19" s="102">
        <f t="shared" si="9"/>
        <v>14316.5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108</v>
      </c>
      <c r="C20" s="37"/>
      <c r="D20" s="37" t="s">
        <v>52</v>
      </c>
      <c r="E20" s="37" t="s">
        <v>126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L20+IFERROR(VLOOKUP($E:$E,'（居民）工资表-7月'!$E:$S,15,0),0)</f>
        <v>76000</v>
      </c>
      <c r="T20" s="91">
        <f>5000+IFERROR(VLOOKUP($E:$E,'（居民）工资表-7月'!$E:$T,16,0),0)</f>
        <v>20000</v>
      </c>
      <c r="U20" s="91">
        <f>Q20+IFERROR(VLOOKUP($E:$E,'（居民）工资表-7月'!$E:$U,17,0),0)</f>
        <v>13300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R20+IFERROR(VLOOKUP($E:$E,'（居民）工资表-7月'!$E:$AC,25,0),0)</f>
        <v>0</v>
      </c>
      <c r="AD20" s="93">
        <f t="shared" si="6"/>
        <v>42700</v>
      </c>
      <c r="AE20" s="94">
        <f>ROUND(MAX((AD20)*{0.03;0.1;0.2;0.25;0.3;0.35;0.45}-{0;2520;16920;31920;52920;85920;181920},0),2)</f>
        <v>1750</v>
      </c>
      <c r="AF20" s="95">
        <f>IFERROR(VLOOKUP(E:E,'（居民）工资表-7月'!E:AF,28,0)+VLOOKUP(E:E,'（居民）工资表-7月'!E:AG,29,0),0)</f>
        <v>960.75</v>
      </c>
      <c r="AG20" s="95">
        <f t="shared" si="7"/>
        <v>789.25</v>
      </c>
      <c r="AH20" s="102">
        <f t="shared" si="8"/>
        <v>14885.75</v>
      </c>
      <c r="AI20" s="103"/>
      <c r="AJ20" s="102">
        <f t="shared" si="9"/>
        <v>14885.75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108</v>
      </c>
      <c r="C21" s="37"/>
      <c r="D21" s="37" t="s">
        <v>52</v>
      </c>
      <c r="E21" s="37" t="s">
        <v>127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L21+IFERROR(VLOOKUP($E:$E,'（居民）工资表-7月'!$E:$S,15,0),0)</f>
        <v>80000</v>
      </c>
      <c r="T21" s="91">
        <f>5000+IFERROR(VLOOKUP($E:$E,'（居民）工资表-7月'!$E:$T,16,0),0)</f>
        <v>20000</v>
      </c>
      <c r="U21" s="91">
        <f>Q21+IFERROR(VLOOKUP($E:$E,'（居民）工资表-7月'!$E:$U,17,0),0)</f>
        <v>14000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R21+IFERROR(VLOOKUP($E:$E,'（居民）工资表-7月'!$E:$AC,25,0),0)</f>
        <v>0</v>
      </c>
      <c r="AD21" s="93">
        <f t="shared" si="6"/>
        <v>46000</v>
      </c>
      <c r="AE21" s="94">
        <f>ROUND(MAX((AD21)*{0.03;0.1;0.2;0.25;0.3;0.35;0.45}-{0;2520;16920;31920;52920;85920;181920},0),2)</f>
        <v>2080</v>
      </c>
      <c r="AF21" s="95">
        <f>IFERROR(VLOOKUP(E:E,'（居民）工资表-7月'!E:AF,28,0)+VLOOKUP(E:E,'（居民）工资表-7月'!E:AG,29,0),0)</f>
        <v>1035</v>
      </c>
      <c r="AG21" s="95">
        <f t="shared" si="7"/>
        <v>1045</v>
      </c>
      <c r="AH21" s="102">
        <f t="shared" si="8"/>
        <v>15455</v>
      </c>
      <c r="AI21" s="103"/>
      <c r="AJ21" s="102">
        <f t="shared" si="9"/>
        <v>15455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108</v>
      </c>
      <c r="C22" s="37"/>
      <c r="D22" s="37" t="s">
        <v>52</v>
      </c>
      <c r="E22" s="37" t="s">
        <v>128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L22+IFERROR(VLOOKUP($E:$E,'（居民）工资表-7月'!$E:$S,15,0),0)</f>
        <v>84000</v>
      </c>
      <c r="T22" s="91">
        <f>5000+IFERROR(VLOOKUP($E:$E,'（居民）工资表-7月'!$E:$T,16,0),0)</f>
        <v>20000</v>
      </c>
      <c r="U22" s="91">
        <f>Q22+IFERROR(VLOOKUP($E:$E,'（居民）工资表-7月'!$E:$U,17,0),0)</f>
        <v>14700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R22+IFERROR(VLOOKUP($E:$E,'（居民）工资表-7月'!$E:$AC,25,0),0)</f>
        <v>0</v>
      </c>
      <c r="AD22" s="93">
        <f t="shared" si="6"/>
        <v>49300</v>
      </c>
      <c r="AE22" s="94">
        <f>ROUND(MAX((AD22)*{0.03;0.1;0.2;0.25;0.3;0.35;0.45}-{0;2520;16920;31920;52920;85920;181920},0),2)</f>
        <v>2410</v>
      </c>
      <c r="AF22" s="95">
        <f>IFERROR(VLOOKUP(E:E,'（居民）工资表-7月'!E:AF,28,0)+VLOOKUP(E:E,'（居民）工资表-7月'!E:AG,29,0),0)</f>
        <v>1177.5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108</v>
      </c>
      <c r="C23" s="37"/>
      <c r="D23" s="37" t="s">
        <v>52</v>
      </c>
      <c r="E23" s="37" t="s">
        <v>129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L23+IFERROR(VLOOKUP($E:$E,'（居民）工资表-7月'!$E:$S,15,0),0)</f>
        <v>88000</v>
      </c>
      <c r="T23" s="91">
        <f>5000+IFERROR(VLOOKUP($E:$E,'（居民）工资表-7月'!$E:$T,16,0),0)</f>
        <v>20000</v>
      </c>
      <c r="U23" s="91">
        <f>Q23+IFERROR(VLOOKUP($E:$E,'（居民）工资表-7月'!$E:$U,17,0),0)</f>
        <v>15400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R23+IFERROR(VLOOKUP($E:$E,'（居民）工资表-7月'!$E:$AC,25,0),0)</f>
        <v>0</v>
      </c>
      <c r="AD23" s="93">
        <f t="shared" si="6"/>
        <v>52600</v>
      </c>
      <c r="AE23" s="94">
        <f>ROUND(MAX((AD23)*{0.03;0.1;0.2;0.25;0.3;0.35;0.45}-{0;2520;16920;31920;52920;85920;181920},0),2)</f>
        <v>2740</v>
      </c>
      <c r="AF23" s="95">
        <f>IFERROR(VLOOKUP(E:E,'（居民）工资表-7月'!E:AF,28,0)+VLOOKUP(E:E,'（居民）工资表-7月'!E:AG,29,0),0)</f>
        <v>1425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1000000</v>
      </c>
      <c r="T24" s="74">
        <f t="shared" si="12"/>
        <v>400000</v>
      </c>
      <c r="U24" s="74">
        <f t="shared" si="12"/>
        <v>175000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425000</v>
      </c>
      <c r="AE24" s="74">
        <f t="shared" si="12"/>
        <v>16875</v>
      </c>
      <c r="AF24" s="74">
        <f t="shared" si="12"/>
        <v>10335.75</v>
      </c>
      <c r="AG24" s="74">
        <f t="shared" si="12"/>
        <v>6539.25</v>
      </c>
      <c r="AH24" s="74">
        <f t="shared" si="12"/>
        <v>199710.75</v>
      </c>
      <c r="AI24" s="105">
        <f t="shared" si="12"/>
        <v>0</v>
      </c>
      <c r="AJ24" s="74">
        <f t="shared" si="12"/>
        <v>199710.75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199710.75</v>
      </c>
      <c r="C29" s="48">
        <f>AG24</f>
        <v>6539.25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（居民）工资表-1月</vt:lpstr>
      <vt:lpstr>付款通知</vt:lpstr>
      <vt:lpstr>（居民）工资表-2月</vt:lpstr>
      <vt:lpstr>（居民）工资表-3月</vt:lpstr>
      <vt:lpstr>（居民）工资表-4月</vt:lpstr>
      <vt:lpstr>（居民）工资表-5月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（居民）工资表-11月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2018-08-01T08:19:00Z</dcterms:created>
  <cp:lastPrinted>2019-02-02T09:30:00Z</cp:lastPrinted>
  <dcterms:modified xsi:type="dcterms:W3CDTF">2021-02-26T06:39:09Z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2052-11.1.0.10314</vt:lpwstr>
  </property>
</Properties>
</file>