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17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state="hidden" r:id="rId4"/>
    <sheet name="社保" sheetId="27" state="hidden" r:id="rId5"/>
    <sheet name="（居民）工资表-4月" sheetId="17" state="hidden" r:id="rId6"/>
    <sheet name="（居民）工资表-5月" sheetId="18" state="hidden" r:id="rId7"/>
    <sheet name="社保1" sheetId="28" state="hidden" r:id="rId8"/>
    <sheet name="（居民）工资表-6月" sheetId="19" state="hidden" r:id="rId9"/>
    <sheet name="（居民）工资表-7月" sheetId="20" state="hidden" r:id="rId10"/>
    <sheet name="增减" sheetId="29" state="hidden" r:id="rId11"/>
    <sheet name="（居民）工资表-8月" sheetId="21" state="hidden" r:id="rId12"/>
    <sheet name="（居民）工资表-9月" sheetId="22" state="hidden" r:id="rId13"/>
    <sheet name="（居民）工资表-10月" sheetId="23" state="hidden" r:id="rId14"/>
    <sheet name="（居民）工资表-11月" sheetId="24" r:id="rId15"/>
    <sheet name="（居民）工资表-12月" sheetId="25" state="hidden" r:id="rId16"/>
    <sheet name="Sheet1" sheetId="14" state="hidden" r:id="rId17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5" hidden="1">'（居民）工资表-4月'!$A$3:$AT$7</definedName>
    <definedName name="_xlnm._FilterDatabase" localSheetId="6" hidden="1">'（居民）工资表-5月'!$A$3:$AT$8</definedName>
    <definedName name="_xlnm._FilterDatabase" localSheetId="8" hidden="1">'（居民）工资表-6月'!$A$3:$AT$8</definedName>
    <definedName name="_xlnm._FilterDatabase" localSheetId="9" hidden="1">'（居民）工资表-7月'!$A$3:$AT$9</definedName>
    <definedName name="_xlnm._FilterDatabase" localSheetId="11" hidden="1">'（居民）工资表-8月'!$A$3:$AT$8</definedName>
    <definedName name="_xlnm._FilterDatabase" localSheetId="12" hidden="1">'（居民）工资表-9月'!$A$3:$AT$8</definedName>
    <definedName name="_xlnm._FilterDatabase" localSheetId="13" hidden="1">'（居民）工资表-10月'!$A$3:$AT$8</definedName>
    <definedName name="_xlnm._FilterDatabase" localSheetId="14" hidden="1">'（居民）工资表-11月'!$A$3:$AT$9</definedName>
    <definedName name="_xlnm._FilterDatabase" localSheetId="15" hidden="1">'（居民）工资表-12月'!$A$3:$AT$24</definedName>
    <definedName name="_xlnm.Print_Area" localSheetId="13">'（居民）工资表-10月'!$A$1:$AT$14</definedName>
    <definedName name="_xlnm.Print_Area" localSheetId="14">'（居民）工资表-11月'!$A$1:$AT$15</definedName>
    <definedName name="_xlnm.Print_Area" localSheetId="15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5">'（居民）工资表-4月'!$A$1:$AT$13</definedName>
    <definedName name="_xlnm.Print_Area" localSheetId="6">'（居民）工资表-5月'!$A$1:$AT$14</definedName>
    <definedName name="_xlnm.Print_Area" localSheetId="8">'（居民）工资表-6月'!$A$1:$AT$14</definedName>
    <definedName name="_xlnm.Print_Area" localSheetId="9">'（居民）工资表-7月'!$A$1:$AT$15</definedName>
    <definedName name="_xlnm.Print_Area" localSheetId="11">'（居民）工资表-8月'!$A$1:$AT$14</definedName>
    <definedName name="_xlnm.Print_Area" localSheetId="12">'（居民）工资表-9月'!$A$1:$AT$14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<sst xmlns="http://schemas.openxmlformats.org/spreadsheetml/2006/main" count="1636" uniqueCount="283">
  <si>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</si>
  <si>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</si>
  <si>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</si>
  <si>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</si>
  <si>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</si>
  <si>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</si>
  <si>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</si>
  <si>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</si>
  <si>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</si>
  <si>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</si>
  <si>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</si>
  <si>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</si>
  <si>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</si>
  <si>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</si>
  <si>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</si>
  <si>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</si>
  <si>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</si>
  <si>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</si>
  <si>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</si>
  <si>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</si>
  <si>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</si>
  <si>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</si>
  <si>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</si>
  <si>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</si>
  <si>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</si>
  <si>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</si>
  <si>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</si>
  <si>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</si>
  <si>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</si>
  <si>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</si>
  <si>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</si>
  <si>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</si>
  <si>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</si>
  <si>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</si>
  <si>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</si>
  <si>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</si>
  <si>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</si>
  <si>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</si>
  <si>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</si>
  <si>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</si>
  <si>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</si>
  <si>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</si>
  <si>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</si>
  <si>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</si>
  <si>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</si>
  <si>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</si>
  <si>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</si>
  <si>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</si>
  <si>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</si>
  <si>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</si>
  <si>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</si>
  <si>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</si>
  <si>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</si>
  <si>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</si>
  <si>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</si>
  <si>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</si>
  <si>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</si>
  <si>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</si>
  <si>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</si>
  <si>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</si>
  <si>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</si>
  <si>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</si>
  <si>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</si>
  <si>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</si>
  <si>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</si>
  <si>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</si>
  <si>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</si>
  <si>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</si>
  <si>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</si>
  <si>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</si>
  <si>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</si>
  <si>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</si>
  <si>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</si>
  <si>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</si>
  <si>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根据贵公司与我公司所签订的服务协议，请贵公司在2021年11月8日之前按照下列表格内容支付相关款项.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</si>
  <si>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</si>
  <si>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</si>
  <si>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</si>
  <si>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</si>
  <si>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</si>
  <si>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</si>
  <si>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</si>
  <si>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</si>
  <si>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</si>
  <si>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</si>
  <si>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</si>
  <si>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</si>
  <si>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</si>
  <si>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</si>
  <si>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</si>
  <si>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</si>
  <si>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</si>
  <si>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</si>
  <si>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</si>
  <si>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</si>
  <si>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</si>
  <si>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</si>
  <si>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</si>
  <si>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</si>
  <si>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</si>
  <si>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</si>
  <si>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</si>
  <si>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</si>
  <si>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</si>
  <si>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</si>
  <si>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</si>
  <si>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</si>
  <si>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</si>
  <si>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</si>
  <si>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</si>
  <si>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</si>
  <si>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</si>
  <si>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</si>
  <si>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</si>
  <si>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</si>
  <si>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</si>
  <si>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</si>
  <si>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</si>
  <si>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</si>
  <si>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</si>
  <si>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</si>
  <si>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</si>
  <si>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</si>
  <si>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</si>
  <si>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</si>
  <si>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</si>
  <si>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</si>
  <si>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</si>
  <si>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</si>
  <si>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</si>
  <si>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</si>
  <si>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</si>
  <si>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</si>
  <si>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</si>
  <si>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</si>
  <si>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</si>
  <si>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</si>
  <si>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</si>
  <si>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</si>
  <si>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</si>
  <si>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</si>
  <si>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</si>
  <si>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</si>
  <si>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</si>
  <si>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</si>
  <si>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</si>
  <si>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</si>
  <si>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</si>
  <si>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</si>
  <si>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</si>
  <si>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</si>
  <si>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</si>
  <si>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</si>
  <si>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</si>
  <si>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</si>
  <si>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</si>
  <si>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</si>
  <si>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</si>
  <si>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</si>
  <si>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</si>
  <si>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</si>
  <si>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</si>
  <si>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</si>
  <si>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</si>
  <si>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</si>
  <si>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</si>
  <si>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202110</t>
  </si>
  <si>
    <t>202111</t>
  </si>
  <si>
    <t>202112</t>
  </si>
  <si>
    <t>202011</t>
  </si>
  <si>
    <t>202012</t>
  </si>
  <si>
    <t>202101</t>
  </si>
  <si>
    <t>长沙</t>
  </si>
  <si>
    <t>202105</t>
  </si>
  <si>
    <t>梁敏霞</t>
  </si>
  <si>
    <t>14262519910503392X</t>
  </si>
  <si>
    <t>代发薪服务费收取202108-202110</t>
  </si>
  <si>
    <t>202107</t>
  </si>
  <si>
    <t>养老失业202107起下限调整为3360.15</t>
  </si>
  <si>
    <t>202108</t>
  </si>
  <si>
    <t>202109</t>
  </si>
  <si>
    <t>工伤比例调整为0.004补收差额，补收大病差额</t>
  </si>
  <si>
    <t>男</t>
  </si>
  <si>
    <t>女</t>
  </si>
  <si>
    <t>440883199611084547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</si>
  <si>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</si>
  <si>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</si>
  <si>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</si>
  <si>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</si>
  <si>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</si>
  <si>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</si>
  <si>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</si>
  <si>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</si>
  <si>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</si>
  <si>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</si>
  <si>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</si>
  <si>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</si>
  <si>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</si>
  <si>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</si>
  <si>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</si>
  <si>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</si>
  <si>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</si>
  <si>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</si>
  <si>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</si>
  <si>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</si>
  <si>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</si>
  <si>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</si>
  <si>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</si>
  <si>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</si>
  <si>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</si>
  <si>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</si>
  <si>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</si>
  <si>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</si>
  <si>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</si>
  <si>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</si>
  <si>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</si>
  <si>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</si>
  <si>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</si>
  <si>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</si>
  <si>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</si>
  <si>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</si>
  <si>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</si>
  <si>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</si>
  <si>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</si>
  <si>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</si>
  <si>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</si>
  <si>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</si>
  <si>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</si>
  <si>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</si>
  <si>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</si>
  <si>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</si>
  <si>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</si>
  <si>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谢锋明</t>
  </si>
  <si>
    <t>43022319780815051X</t>
  </si>
  <si>
    <t>XX公司</t>
  </si>
  <si>
    <t>411324199504212820</t>
  </si>
  <si>
    <t>220221199007200094</t>
  </si>
  <si>
    <t>411224197103091429</t>
  </si>
  <si>
    <t>142625199110093943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</si>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</sst>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176" formatCode="&quot;$&quot;#,##0_ ;[Red]\-&quot;$&quot;#,##0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 "/>
    <numFmt numFmtId="179" formatCode="0.00_);[Red]\(0.00\)"/>
    <numFmt numFmtId="180" formatCode="#,##0_);[Red]\(#,##0\)"/>
    <numFmt numFmtId="181" formatCode="#,##0.00_);[Red]\(#,##0.00\)"/>
    <numFmt numFmtId="182" formatCode="[$-10432]yyyy/mm/dd;@"/>
    <numFmt numFmtId="183" formatCode="0.00;[Red]0.00"/>
    <numFmt numFmtId="184" formatCode="&quot;$&quot;0_ "/>
    <numFmt numFmtId="185" formatCode="[DBNum2][$-804]General"/>
    <numFmt numFmtId="186" formatCode="General\ &quot;年&quot;"/>
    <numFmt numFmtId="187" formatCode="0.00_);\(0.00\)"/>
  </numFmts>
  <fonts count="1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73" fillId="0" borderId="0">
      <alignment vertical="center"/>
    </xf>
    <xf numFmtId="0" fontId="90" fillId="27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2" fillId="17" borderId="49" applyNumberFormat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0" fillId="21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/>
    <xf numFmtId="0" fontId="100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0" borderId="54" applyNumberFormat="0" applyFont="0" applyAlignment="0" applyProtection="0">
      <alignment vertical="center"/>
    </xf>
    <xf numFmtId="0" fontId="6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99" fillId="0" borderId="0"/>
    <xf numFmtId="0" fontId="89" fillId="0" borderId="47" applyNumberFormat="0" applyFill="0" applyAlignment="0" applyProtection="0">
      <alignment vertical="center"/>
    </xf>
    <xf numFmtId="0" fontId="97" fillId="39" borderId="0" applyNumberFormat="0" applyBorder="0" applyAlignment="0" applyProtection="0">
      <alignment vertical="center"/>
    </xf>
    <xf numFmtId="0" fontId="105" fillId="0" borderId="55" applyNumberFormat="0" applyFill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111" fillId="42" borderId="56" applyNumberFormat="0" applyAlignment="0" applyProtection="0">
      <alignment vertical="center"/>
    </xf>
    <xf numFmtId="0" fontId="113" fillId="42" borderId="49" applyNumberFormat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8" fillId="37" borderId="53" applyNumberFormat="0" applyAlignment="0" applyProtection="0">
      <alignment vertical="center"/>
    </xf>
    <xf numFmtId="0" fontId="95" fillId="0" borderId="0">
      <alignment vertical="center"/>
    </xf>
    <xf numFmtId="0" fontId="90" fillId="31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6" fillId="45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5" fillId="0" borderId="0">
      <alignment vertical="center"/>
    </xf>
    <xf numFmtId="0" fontId="90" fillId="46" borderId="0" applyNumberFormat="0" applyBorder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95" fillId="0" borderId="0"/>
    <xf numFmtId="0" fontId="97" fillId="48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3" fillId="0" borderId="0"/>
    <xf numFmtId="0" fontId="90" fillId="49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7" fillId="54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0" borderId="0"/>
    <xf numFmtId="0" fontId="120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3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95" fillId="0" borderId="0">
      <alignment vertical="center"/>
    </xf>
    <xf numFmtId="0" fontId="73" fillId="0" borderId="0"/>
    <xf numFmtId="0" fontId="6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5" fillId="0" borderId="0"/>
    <xf numFmtId="0" fontId="6" fillId="0" borderId="0"/>
    <xf numFmtId="0" fontId="6" fillId="22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9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96" fillId="13" borderId="50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5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1" fillId="20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6" fillId="0" borderId="0">
      <alignment vertical="center"/>
    </xf>
    <xf numFmtId="0" fontId="117" fillId="50" borderId="0" applyNumberFormat="0" applyBorder="0" applyAlignment="0" applyProtection="0">
      <alignment vertical="center"/>
    </xf>
    <xf numFmtId="9" fontId="6" fillId="0" borderId="0">
      <alignment vertical="center"/>
    </xf>
    <xf numFmtId="9" fontId="95" fillId="0" borderId="0" applyFont="0" applyFill="0" applyBorder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23" fillId="0" borderId="61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6" fillId="0" borderId="0">
      <alignment vertical="center"/>
    </xf>
    <xf numFmtId="0" fontId="118" fillId="0" borderId="59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01" fillId="0" borderId="0"/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6" fillId="0" borderId="0">
      <alignment vertical="center"/>
    </xf>
    <xf numFmtId="0" fontId="95" fillId="0" borderId="0"/>
    <xf numFmtId="0" fontId="95" fillId="0" borderId="0">
      <alignment vertical="center"/>
    </xf>
    <xf numFmtId="0" fontId="95" fillId="0" borderId="0">
      <alignment vertical="center"/>
    </xf>
    <xf numFmtId="0" fontId="91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2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03" fillId="33" borderId="50" applyNumberFormat="0" applyAlignment="0" applyProtection="0">
      <alignment vertical="center"/>
    </xf>
    <xf numFmtId="0" fontId="14" fillId="0" borderId="0">
      <alignment vertical="center"/>
    </xf>
    <xf numFmtId="0" fontId="101" fillId="0" borderId="0"/>
    <xf numFmtId="0" fontId="103" fillId="33" borderId="50" applyNumberFormat="0" applyAlignment="0" applyProtection="0">
      <alignment vertical="center"/>
    </xf>
    <xf numFmtId="0" fontId="95" fillId="0" borderId="0">
      <alignment vertical="center"/>
    </xf>
    <xf numFmtId="0" fontId="15" fillId="0" borderId="0">
      <alignment vertical="center"/>
    </xf>
    <xf numFmtId="0" fontId="6" fillId="0" borderId="0"/>
    <xf numFmtId="0" fontId="103" fillId="33" borderId="50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9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6" fillId="0" borderId="0"/>
    <xf numFmtId="0" fontId="91" fillId="18" borderId="0" applyNumberFormat="0" applyBorder="0" applyAlignment="0" applyProtection="0">
      <alignment vertical="center"/>
    </xf>
    <xf numFmtId="0" fontId="95" fillId="0" borderId="0"/>
    <xf numFmtId="0" fontId="91" fillId="18" borderId="0" applyNumberFormat="0" applyBorder="0" applyAlignment="0" applyProtection="0">
      <alignment vertical="center"/>
    </xf>
    <xf numFmtId="0" fontId="95" fillId="0" borderId="0"/>
    <xf numFmtId="0" fontId="95" fillId="0" borderId="0"/>
    <xf numFmtId="0" fontId="6" fillId="0" borderId="0">
      <alignment vertical="center"/>
    </xf>
    <xf numFmtId="0" fontId="112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/>
    <xf numFmtId="0" fontId="95" fillId="0" borderId="0"/>
    <xf numFmtId="0" fontId="103" fillId="33" borderId="50" applyNumberFormat="0" applyAlignment="0" applyProtection="0">
      <alignment vertical="center"/>
    </xf>
    <xf numFmtId="0" fontId="6" fillId="0" borderId="0">
      <alignment vertical="center"/>
    </xf>
    <xf numFmtId="0" fontId="95" fillId="0" borderId="0"/>
    <xf numFmtId="0" fontId="91" fillId="60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6" fillId="12" borderId="4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1" fillId="0" borderId="0"/>
    <xf numFmtId="0" fontId="120" fillId="30" borderId="0" applyNumberFormat="0" applyBorder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73" fillId="0" borderId="0"/>
    <xf numFmtId="0" fontId="91" fillId="58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114" fillId="6" borderId="5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1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87" fillId="13" borderId="46" applyNumberFormat="0" applyAlignment="0" applyProtection="0">
      <alignment vertical="center"/>
    </xf>
    <xf numFmtId="0" fontId="99" fillId="0" borderId="0"/>
    <xf numFmtId="0" fontId="103" fillId="33" borderId="50" applyNumberFormat="0" applyAlignment="0" applyProtection="0">
      <alignment vertical="center"/>
    </xf>
    <xf numFmtId="0" fontId="99" fillId="0" borderId="0"/>
    <xf numFmtId="0" fontId="103" fillId="33" borderId="50" applyNumberFormat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103" fillId="33" borderId="50" applyNumberFormat="0" applyAlignment="0" applyProtection="0">
      <alignment vertical="center"/>
    </xf>
    <xf numFmtId="0" fontId="125" fillId="0" borderId="0"/>
    <xf numFmtId="0" fontId="73" fillId="0" borderId="0"/>
    <xf numFmtId="0" fontId="99" fillId="0" borderId="0"/>
    <xf numFmtId="0" fontId="99" fillId="0" borderId="0"/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6" fillId="12" borderId="45" applyNumberFormat="0" applyFont="0" applyAlignment="0" applyProtection="0">
      <alignment vertical="center"/>
    </xf>
    <xf numFmtId="0" fontId="95" fillId="0" borderId="0"/>
    <xf numFmtId="0" fontId="126" fillId="0" borderId="0" applyNumberFormat="0" applyFill="0" applyBorder="0" applyAlignment="0" applyProtection="0">
      <alignment vertical="center"/>
    </xf>
    <xf numFmtId="38" fontId="95" fillId="0" borderId="0" applyFont="0" applyFill="0" applyBorder="0" applyAlignment="0" applyProtection="0">
      <alignment vertical="center"/>
    </xf>
    <xf numFmtId="0" fontId="5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9" fontId="6" fillId="0" borderId="0" xfId="308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80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80" fontId="14" fillId="4" borderId="6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9" fontId="6" fillId="4" borderId="7" xfId="308" applyNumberFormat="1" applyFont="1" applyFill="1" applyBorder="1" applyAlignment="1">
      <alignment horizontal="center" vertical="center"/>
    </xf>
    <xf numFmtId="181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8" fontId="24" fillId="5" borderId="0" xfId="308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8" fontId="14" fillId="0" borderId="7" xfId="308" applyNumberFormat="1" applyFont="1" applyFill="1" applyBorder="1">
      <alignment vertical="center"/>
    </xf>
    <xf numFmtId="178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1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8" applyNumberFormat="1" applyFont="1" applyFill="1" applyBorder="1" applyAlignment="1">
      <alignment horizontal="left" vertical="center"/>
    </xf>
    <xf numFmtId="179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79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8" fontId="14" fillId="4" borderId="7" xfId="308" applyNumberFormat="1" applyFont="1" applyFill="1" applyBorder="1">
      <alignment vertical="center"/>
    </xf>
    <xf numFmtId="178" fontId="14" fillId="4" borderId="10" xfId="308" applyNumberFormat="1" applyFont="1" applyFill="1" applyBorder="1" applyAlignment="1">
      <alignment horizontal="center" vertical="center"/>
    </xf>
    <xf numFmtId="178" fontId="14" fillId="4" borderId="10" xfId="308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81" fontId="14" fillId="4" borderId="10" xfId="308" applyNumberFormat="1" applyFont="1" applyFill="1" applyBorder="1" applyAlignment="1" applyProtection="1">
      <alignment horizontal="center" vertical="center"/>
    </xf>
    <xf numFmtId="179" fontId="20" fillId="4" borderId="7" xfId="291" applyNumberFormat="1" applyFont="1" applyFill="1" applyBorder="1" applyAlignment="1" applyProtection="1">
      <alignment horizontal="center" vertical="center"/>
    </xf>
    <xf numFmtId="179" fontId="25" fillId="4" borderId="7" xfId="401" applyNumberFormat="1" applyFont="1" applyFill="1" applyBorder="1" applyAlignment="1" applyProtection="1">
      <alignment horizontal="center" vertical="center"/>
    </xf>
    <xf numFmtId="181" fontId="14" fillId="0" borderId="0" xfId="308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 applyAlignment="1" applyProtection="1">
      <alignment horizontal="center" vertical="center"/>
    </xf>
    <xf numFmtId="179" fontId="16" fillId="0" borderId="7" xfId="308" applyNumberFormat="1" applyFont="1" applyFill="1" applyBorder="1" applyAlignment="1">
      <alignment horizontal="center" vertical="center" wrapText="1"/>
    </xf>
    <xf numFmtId="181" fontId="14" fillId="0" borderId="7" xfId="308" applyNumberFormat="1" applyFont="1" applyFill="1" applyBorder="1" applyAlignment="1" applyProtection="1">
      <alignment horizontal="center" vertical="center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81" fontId="14" fillId="4" borderId="7" xfId="308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177" fontId="14" fillId="0" borderId="0" xfId="0" applyNumberFormat="1" applyFont="1" applyFill="1" applyBorder="1" applyAlignment="1" applyProtection="1">
      <alignment horizontal="left" vertical="center"/>
      <protection locked="0"/>
    </xf>
    <xf numFmtId="182" fontId="14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49" fontId="29" fillId="6" borderId="7" xfId="410" applyNumberFormat="1" applyFont="1" applyFill="1" applyBorder="1" applyAlignment="1" applyProtection="1">
      <alignment horizontal="center" vertical="center" wrapText="1"/>
    </xf>
    <xf numFmtId="49" fontId="24" fillId="6" borderId="7" xfId="410" applyNumberFormat="1" applyFont="1" applyFill="1" applyBorder="1" applyAlignment="1" applyProtection="1">
      <alignment horizontal="center" vertical="center" wrapText="1"/>
    </xf>
    <xf numFmtId="177" fontId="29" fillId="6" borderId="7" xfId="410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77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182" fontId="24" fillId="6" borderId="7" xfId="410" applyNumberFormat="1" applyFont="1" applyFill="1" applyBorder="1" applyAlignment="1" applyProtection="1">
      <alignment horizontal="center" vertical="center" wrapText="1"/>
    </xf>
    <xf numFmtId="49" fontId="36" fillId="6" borderId="7" xfId="410" applyNumberFormat="1" applyFont="1" applyFill="1" applyBorder="1" applyAlignment="1" applyProtection="1">
      <alignment horizontal="center" vertical="center" wrapText="1"/>
    </xf>
    <xf numFmtId="49" fontId="24" fillId="6" borderId="7" xfId="363" applyNumberFormat="1" applyFont="1" applyFill="1" applyBorder="1" applyAlignment="1" applyProtection="1">
      <alignment horizontal="center" vertical="center" wrapText="1"/>
    </xf>
    <xf numFmtId="178" fontId="27" fillId="0" borderId="7" xfId="0" applyNumberFormat="1" applyFont="1" applyFill="1" applyBorder="1" applyAlignment="1" applyProtection="1">
      <alignment horizontal="center" vertical="center"/>
      <protection locked="0"/>
    </xf>
    <xf numFmtId="178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8" borderId="7" xfId="363" applyNumberFormat="1" applyFont="1" applyFill="1" applyBorder="1" applyAlignment="1" applyProtection="1">
      <alignment horizontal="center" vertical="center" wrapText="1"/>
    </xf>
    <xf numFmtId="0" fontId="37" fillId="3" borderId="7" xfId="363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32" fillId="0" borderId="6" xfId="0" applyNumberFormat="1" applyFont="1" applyFill="1" applyBorder="1" applyAlignment="1">
      <alignment horizontal="center"/>
    </xf>
    <xf numFmtId="49" fontId="32" fillId="0" borderId="12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/>
    </xf>
    <xf numFmtId="49" fontId="43" fillId="0" borderId="11" xfId="0" applyNumberFormat="1" applyFont="1" applyFill="1" applyBorder="1" applyAlignment="1">
      <alignment horizontal="center" vertical="center"/>
    </xf>
    <xf numFmtId="49" fontId="43" fillId="0" borderId="6" xfId="0" applyNumberFormat="1" applyFont="1" applyFill="1" applyBorder="1" applyAlignment="1">
      <alignment horizontal="center"/>
    </xf>
    <xf numFmtId="49" fontId="44" fillId="0" borderId="12" xfId="0" applyNumberFormat="1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/>
    </xf>
    <xf numFmtId="0" fontId="19" fillId="9" borderId="13" xfId="0" applyFont="1" applyFill="1" applyBorder="1" applyAlignment="1">
      <alignment horizontal="left" vertical="center"/>
    </xf>
    <xf numFmtId="4" fontId="19" fillId="9" borderId="14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left" vertical="center"/>
    </xf>
    <xf numFmtId="4" fontId="19" fillId="9" borderId="16" xfId="0" applyNumberFormat="1" applyFont="1" applyFill="1" applyBorder="1" applyAlignment="1">
      <alignment horizontal="right" vertical="center"/>
    </xf>
    <xf numFmtId="4" fontId="19" fillId="9" borderId="17" xfId="0" applyNumberFormat="1" applyFont="1" applyFill="1" applyBorder="1" applyAlignment="1">
      <alignment horizontal="right" vertical="center"/>
    </xf>
    <xf numFmtId="4" fontId="19" fillId="9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5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44" fillId="0" borderId="12" xfId="0" applyFont="1" applyFill="1" applyBorder="1" applyAlignment="1">
      <alignment horizontal="center"/>
    </xf>
    <xf numFmtId="4" fontId="19" fillId="9" borderId="19" xfId="0" applyNumberFormat="1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center"/>
    </xf>
    <xf numFmtId="0" fontId="44" fillId="3" borderId="12" xfId="0" applyFont="1" applyFill="1" applyBorder="1" applyAlignment="1">
      <alignment horizontal="center"/>
    </xf>
    <xf numFmtId="0" fontId="38" fillId="0" borderId="7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3" fontId="47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3" fontId="47" fillId="0" borderId="12" xfId="0" applyNumberFormat="1" applyFont="1" applyFill="1" applyBorder="1" applyAlignment="1">
      <alignment horizontal="left" vertical="center"/>
    </xf>
    <xf numFmtId="0" fontId="32" fillId="0" borderId="12" xfId="0" applyNumberFormat="1" applyFont="1" applyFill="1" applyBorder="1" applyAlignment="1">
      <alignment horizontal="center"/>
    </xf>
    <xf numFmtId="49" fontId="43" fillId="0" borderId="12" xfId="0" applyNumberFormat="1" applyFont="1" applyFill="1" applyBorder="1" applyAlignment="1">
      <alignment horizontal="center" vertical="center"/>
    </xf>
    <xf numFmtId="183" fontId="48" fillId="0" borderId="12" xfId="0" applyNumberFormat="1" applyFont="1" applyFill="1" applyBorder="1" applyAlignment="1">
      <alignment horizontal="left" vertical="center"/>
    </xf>
    <xf numFmtId="0" fontId="43" fillId="0" borderId="12" xfId="0" applyNumberFormat="1" applyFont="1" applyFill="1" applyBorder="1" applyAlignment="1">
      <alignment horizontal="center"/>
    </xf>
    <xf numFmtId="0" fontId="19" fillId="9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49" fillId="9" borderId="10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>
      <alignment horizontal="center" vertical="center" wrapText="1"/>
    </xf>
    <xf numFmtId="0" fontId="50" fillId="0" borderId="7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50" fillId="0" borderId="12" xfId="0" applyNumberFormat="1" applyFont="1" applyFill="1" applyBorder="1" applyAlignment="1">
      <alignment horizontal="center"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0" fontId="52" fillId="0" borderId="7" xfId="0" applyNumberFormat="1" applyFont="1" applyFill="1" applyBorder="1" applyAlignment="1">
      <alignment horizontal="center" vertical="center" wrapText="1"/>
    </xf>
    <xf numFmtId="4" fontId="52" fillId="0" borderId="7" xfId="0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center"/>
    </xf>
    <xf numFmtId="4" fontId="49" fillId="9" borderId="7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center" vertical="center"/>
    </xf>
    <xf numFmtId="4" fontId="49" fillId="9" borderId="4" xfId="0" applyNumberFormat="1" applyFont="1" applyFill="1" applyBorder="1" applyAlignment="1">
      <alignment horizontal="right" vertical="center"/>
    </xf>
    <xf numFmtId="0" fontId="42" fillId="0" borderId="0" xfId="0" applyFont="1" applyFill="1" applyAlignment="1"/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32" fillId="0" borderId="20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49" fontId="32" fillId="0" borderId="21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0" fillId="7" borderId="8" xfId="356" applyFont="1" applyFill="1" applyBorder="1" applyAlignment="1">
      <alignment horizontal="left" vertical="center"/>
    </xf>
    <xf numFmtId="49" fontId="50" fillId="0" borderId="7" xfId="272" applyNumberFormat="1" applyFont="1" applyBorder="1" applyAlignment="1" applyProtection="1">
      <protection locked="0"/>
    </xf>
    <xf numFmtId="0" fontId="6" fillId="0" borderId="7" xfId="308" applyNumberFormat="1" applyFont="1" applyFill="1" applyBorder="1" applyAlignment="1">
      <alignment horizontal="center" vertical="center"/>
    </xf>
    <xf numFmtId="0" fontId="6" fillId="0" borderId="8" xfId="308" applyFont="1" applyFill="1" applyBorder="1" applyAlignment="1">
      <alignment vertical="center"/>
    </xf>
    <xf numFmtId="0" fontId="50" fillId="7" borderId="7" xfId="272" applyFont="1" applyFill="1" applyBorder="1" applyAlignment="1">
      <alignment horizontal="left" vertical="center"/>
    </xf>
    <xf numFmtId="14" fontId="6" fillId="0" borderId="8" xfId="308" applyNumberFormat="1" applyFont="1" applyFill="1" applyBorder="1" applyAlignment="1">
      <alignment vertical="center"/>
    </xf>
    <xf numFmtId="178" fontId="14" fillId="0" borderId="7" xfId="308" applyNumberFormat="1" applyFont="1" applyFill="1" applyBorder="1" applyAlignment="1">
      <alignment vertical="center"/>
    </xf>
    <xf numFmtId="181" fontId="6" fillId="0" borderId="0" xfId="308" applyNumberFormat="1">
      <alignment vertical="center"/>
    </xf>
    <xf numFmtId="0" fontId="55" fillId="0" borderId="0" xfId="0" applyFont="1" applyFill="1" applyAlignment="1">
      <alignment vertical="center"/>
    </xf>
    <xf numFmtId="0" fontId="56" fillId="0" borderId="7" xfId="0" applyFont="1" applyFill="1" applyBorder="1" applyAlignment="1">
      <alignment horizontal="center"/>
    </xf>
    <xf numFmtId="49" fontId="56" fillId="0" borderId="7" xfId="0" applyNumberFormat="1" applyFont="1" applyFill="1" applyBorder="1" applyAlignment="1">
      <alignment horizontal="center" vertical="center"/>
    </xf>
    <xf numFmtId="49" fontId="56" fillId="0" borderId="7" xfId="0" applyNumberFormat="1" applyFont="1" applyFill="1" applyBorder="1" applyAlignment="1">
      <alignment horizontal="center"/>
    </xf>
    <xf numFmtId="0" fontId="57" fillId="0" borderId="7" xfId="0" applyFont="1" applyFill="1" applyBorder="1" applyAlignment="1">
      <alignment horizontal="center" vertical="center"/>
    </xf>
    <xf numFmtId="49" fontId="58" fillId="0" borderId="7" xfId="0" applyNumberFormat="1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/>
    </xf>
    <xf numFmtId="0" fontId="55" fillId="0" borderId="7" xfId="0" applyFont="1" applyFill="1" applyBorder="1" applyAlignment="1">
      <alignment vertical="center"/>
    </xf>
    <xf numFmtId="183" fontId="59" fillId="0" borderId="7" xfId="0" applyNumberFormat="1" applyFont="1" applyFill="1" applyBorder="1" applyAlignment="1">
      <alignment horizontal="left" vertical="center"/>
    </xf>
    <xf numFmtId="0" fontId="56" fillId="0" borderId="7" xfId="0" applyNumberFormat="1" applyFont="1" applyFill="1" applyBorder="1" applyAlignment="1">
      <alignment horizontal="center"/>
    </xf>
    <xf numFmtId="49" fontId="60" fillId="0" borderId="10" xfId="0" applyNumberFormat="1" applyFont="1" applyFill="1" applyBorder="1" applyAlignment="1">
      <alignment horizontal="center"/>
    </xf>
    <xf numFmtId="0" fontId="61" fillId="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2" fillId="10" borderId="0" xfId="489" applyFont="1" applyFill="1" applyBorder="1" applyAlignment="1">
      <alignment horizontal="center" vertical="center"/>
    </xf>
    <xf numFmtId="0" fontId="63" fillId="10" borderId="0" xfId="489" applyNumberFormat="1" applyFont="1" applyFill="1" applyBorder="1" applyAlignment="1" applyProtection="1">
      <alignment horizontal="center" vertical="center"/>
      <protection locked="0"/>
    </xf>
    <xf numFmtId="0" fontId="63" fillId="10" borderId="0" xfId="489" applyNumberFormat="1" applyFont="1" applyFill="1" applyBorder="1" applyAlignment="1" applyProtection="1">
      <alignment horizontal="left" vertical="center"/>
      <protection locked="0"/>
    </xf>
    <xf numFmtId="0" fontId="64" fillId="10" borderId="0" xfId="489" applyNumberFormat="1" applyFont="1" applyFill="1" applyBorder="1" applyAlignment="1" applyProtection="1">
      <alignment horizontal="center" vertical="center"/>
      <protection locked="0"/>
    </xf>
    <xf numFmtId="0" fontId="65" fillId="10" borderId="0" xfId="489" applyNumberFormat="1" applyFont="1" applyFill="1" applyBorder="1" applyAlignment="1" applyProtection="1">
      <alignment horizontal="left" vertical="center"/>
      <protection locked="0"/>
    </xf>
    <xf numFmtId="0" fontId="50" fillId="10" borderId="0" xfId="0" applyFont="1" applyFill="1" applyBorder="1" applyAlignment="1" applyProtection="1">
      <alignment horizontal="right" vertical="center"/>
      <protection locked="0"/>
    </xf>
    <xf numFmtId="49" fontId="66" fillId="10" borderId="0" xfId="488" applyNumberFormat="1" applyFont="1" applyFill="1" applyBorder="1" applyAlignment="1" applyProtection="1">
      <alignment horizontal="left" vertical="center"/>
      <protection locked="0"/>
    </xf>
    <xf numFmtId="0" fontId="54" fillId="10" borderId="0" xfId="0" applyFont="1" applyFill="1" applyBorder="1" applyAlignment="1" applyProtection="1">
      <alignment horizontal="left" vertical="center"/>
      <protection locked="0"/>
    </xf>
    <xf numFmtId="0" fontId="67" fillId="10" borderId="0" xfId="489" applyFont="1" applyFill="1" applyBorder="1" applyAlignment="1">
      <alignment horizontal="right" vertical="center"/>
    </xf>
    <xf numFmtId="14" fontId="68" fillId="10" borderId="0" xfId="0" applyNumberFormat="1" applyFont="1" applyFill="1" applyBorder="1" applyAlignment="1" applyProtection="1">
      <alignment horizontal="left" vertical="center"/>
      <protection locked="0"/>
    </xf>
    <xf numFmtId="0" fontId="68" fillId="10" borderId="0" xfId="0" applyFont="1" applyFill="1" applyBorder="1" applyAlignment="1" applyProtection="1">
      <alignment horizontal="right" vertical="center"/>
      <protection locked="0"/>
    </xf>
    <xf numFmtId="0" fontId="69" fillId="10" borderId="0" xfId="0" applyFont="1" applyFill="1" applyBorder="1" applyAlignment="1">
      <alignment horizontal="left" vertical="center"/>
    </xf>
    <xf numFmtId="0" fontId="69" fillId="10" borderId="0" xfId="0" applyFont="1" applyFill="1" applyAlignment="1">
      <alignment horizontal="left" vertical="center"/>
    </xf>
    <xf numFmtId="0" fontId="65" fillId="10" borderId="0" xfId="489" applyNumberFormat="1" applyFont="1" applyFill="1" applyBorder="1" applyAlignment="1" applyProtection="1">
      <alignment horizontal="center" vertical="center"/>
      <protection locked="0"/>
    </xf>
    <xf numFmtId="0" fontId="69" fillId="10" borderId="0" xfId="0" applyFont="1" applyFill="1" applyBorder="1" applyAlignment="1" applyProtection="1">
      <alignment horizontal="left" vertical="center"/>
      <protection locked="0"/>
    </xf>
    <xf numFmtId="0" fontId="70" fillId="10" borderId="0" xfId="489" applyNumberFormat="1" applyFont="1" applyFill="1" applyBorder="1" applyAlignment="1" applyProtection="1">
      <alignment horizontal="center" vertical="center"/>
      <protection locked="0"/>
    </xf>
    <xf numFmtId="184" fontId="68" fillId="10" borderId="0" xfId="488" applyNumberFormat="1" applyFont="1" applyFill="1" applyBorder="1" applyAlignment="1" applyProtection="1">
      <alignment horizontal="left" vertical="center"/>
      <protection locked="0"/>
    </xf>
    <xf numFmtId="0" fontId="71" fillId="10" borderId="22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13" fillId="10" borderId="24" xfId="487" applyNumberFormat="1" applyFont="1" applyFill="1" applyBorder="1" applyAlignment="1" applyProtection="1">
      <alignment horizontal="left" vertical="center"/>
      <protection locked="0"/>
    </xf>
    <xf numFmtId="0" fontId="13" fillId="10" borderId="6" xfId="487" applyNumberFormat="1" applyFont="1" applyFill="1" applyBorder="1" applyAlignment="1" applyProtection="1">
      <alignment horizontal="left" vertical="center"/>
      <protection locked="0"/>
    </xf>
    <xf numFmtId="43" fontId="72" fillId="10" borderId="8" xfId="0" applyNumberFormat="1" applyFont="1" applyFill="1" applyBorder="1" applyAlignment="1" applyProtection="1">
      <alignment horizontal="left" vertical="center" shrinkToFit="1"/>
    </xf>
    <xf numFmtId="43" fontId="72" fillId="10" borderId="9" xfId="0" applyNumberFormat="1" applyFont="1" applyFill="1" applyBorder="1" applyAlignment="1" applyProtection="1">
      <alignment horizontal="left" vertical="center" shrinkToFit="1"/>
    </xf>
    <xf numFmtId="43" fontId="72" fillId="10" borderId="25" xfId="0" applyNumberFormat="1" applyFont="1" applyFill="1" applyBorder="1" applyAlignment="1" applyProtection="1">
      <alignment horizontal="left" vertical="center" shrinkToFit="1"/>
    </xf>
    <xf numFmtId="0" fontId="13" fillId="10" borderId="26" xfId="487" applyNumberFormat="1" applyFont="1" applyFill="1" applyBorder="1" applyAlignment="1" applyProtection="1">
      <alignment horizontal="left" vertical="center"/>
      <protection locked="0"/>
    </xf>
    <xf numFmtId="0" fontId="13" fillId="10" borderId="27" xfId="487" applyNumberFormat="1" applyFont="1" applyFill="1" applyBorder="1" applyAlignment="1" applyProtection="1">
      <alignment horizontal="left" vertical="center"/>
      <protection locked="0"/>
    </xf>
    <xf numFmtId="185" fontId="72" fillId="10" borderId="28" xfId="0" applyNumberFormat="1" applyFont="1" applyFill="1" applyBorder="1" applyAlignment="1" applyProtection="1">
      <alignment horizontal="right" vertical="center" shrinkToFit="1"/>
    </xf>
    <xf numFmtId="185" fontId="72" fillId="10" borderId="29" xfId="0" applyNumberFormat="1" applyFont="1" applyFill="1" applyBorder="1" applyAlignment="1" applyProtection="1">
      <alignment horizontal="right" vertical="center" shrinkToFit="1"/>
    </xf>
    <xf numFmtId="185" fontId="72" fillId="10" borderId="30" xfId="0" applyNumberFormat="1" applyFont="1" applyFill="1" applyBorder="1" applyAlignment="1" applyProtection="1">
      <alignment horizontal="right" vertical="center" shrinkToFit="1"/>
    </xf>
    <xf numFmtId="0" fontId="25" fillId="10" borderId="24" xfId="488" applyNumberFormat="1" applyFont="1" applyFill="1" applyBorder="1" applyAlignment="1" applyProtection="1">
      <alignment horizontal="left" vertical="center"/>
      <protection locked="0"/>
    </xf>
    <xf numFmtId="0" fontId="25" fillId="10" borderId="6" xfId="488" applyNumberFormat="1" applyFont="1" applyFill="1" applyBorder="1" applyAlignment="1" applyProtection="1">
      <alignment horizontal="left" vertical="center"/>
      <protection locked="0"/>
    </xf>
    <xf numFmtId="43" fontId="73" fillId="10" borderId="6" xfId="0" applyNumberFormat="1" applyFont="1" applyFill="1" applyBorder="1" applyAlignment="1" applyProtection="1">
      <alignment horizontal="left" vertical="center" shrinkToFit="1"/>
    </xf>
    <xf numFmtId="0" fontId="25" fillId="10" borderId="31" xfId="488" applyNumberFormat="1" applyFont="1" applyFill="1" applyBorder="1" applyAlignment="1" applyProtection="1">
      <alignment horizontal="left" vertical="center"/>
      <protection locked="0"/>
    </xf>
    <xf numFmtId="0" fontId="25" fillId="10" borderId="32" xfId="488" applyNumberFormat="1" applyFont="1" applyFill="1" applyBorder="1" applyAlignment="1" applyProtection="1">
      <alignment horizontal="left" vertical="center"/>
      <protection locked="0"/>
    </xf>
    <xf numFmtId="0" fontId="25" fillId="10" borderId="33" xfId="488" applyNumberFormat="1" applyFont="1" applyFill="1" applyBorder="1" applyAlignment="1" applyProtection="1">
      <alignment horizontal="left" vertical="center"/>
      <protection locked="0"/>
    </xf>
    <xf numFmtId="43" fontId="73" fillId="10" borderId="34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5" xfId="163" applyFont="1" applyFill="1" applyBorder="1" applyAlignment="1">
      <alignment vertical="center"/>
    </xf>
    <xf numFmtId="0" fontId="14" fillId="10" borderId="7" xfId="163" applyFont="1" applyFill="1" applyBorder="1" applyAlignment="1">
      <alignment vertical="center"/>
    </xf>
    <xf numFmtId="43" fontId="73" fillId="10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8" xfId="163" applyFont="1" applyFill="1" applyBorder="1" applyAlignment="1">
      <alignment horizontal="left" vertical="center"/>
    </xf>
    <xf numFmtId="0" fontId="14" fillId="10" borderId="9" xfId="163" applyFont="1" applyFill="1" applyBorder="1" applyAlignment="1">
      <alignment horizontal="left" vertical="center"/>
    </xf>
    <xf numFmtId="0" fontId="14" fillId="10" borderId="10" xfId="163" applyFont="1" applyFill="1" applyBorder="1" applyAlignment="1">
      <alignment horizontal="left" vertical="center"/>
    </xf>
    <xf numFmtId="43" fontId="73" fillId="10" borderId="36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7" xfId="163" applyFont="1" applyFill="1" applyBorder="1" applyAlignment="1">
      <alignment vertical="center"/>
    </xf>
    <xf numFmtId="0" fontId="14" fillId="10" borderId="38" xfId="163" applyFont="1" applyFill="1" applyBorder="1" applyAlignment="1">
      <alignment vertical="center"/>
    </xf>
    <xf numFmtId="43" fontId="73" fillId="10" borderId="38" xfId="488" applyNumberFormat="1" applyFont="1" applyFill="1" applyBorder="1" applyAlignment="1" applyProtection="1">
      <alignment horizontal="left" vertical="center" shrinkToFit="1"/>
      <protection locked="0"/>
    </xf>
    <xf numFmtId="176" fontId="25" fillId="10" borderId="39" xfId="488" applyNumberFormat="1" applyFont="1" applyFill="1" applyBorder="1" applyAlignment="1" applyProtection="1">
      <alignment horizontal="left" vertical="center"/>
      <protection locked="0"/>
    </xf>
    <xf numFmtId="176" fontId="25" fillId="10" borderId="40" xfId="488" applyNumberFormat="1" applyFont="1" applyFill="1" applyBorder="1" applyAlignment="1" applyProtection="1">
      <alignment horizontal="left" vertical="center"/>
      <protection locked="0"/>
    </xf>
    <xf numFmtId="176" fontId="25" fillId="10" borderId="41" xfId="488" applyNumberFormat="1" applyFont="1" applyFill="1" applyBorder="1" applyAlignment="1" applyProtection="1">
      <alignment horizontal="left" vertical="center"/>
      <protection locked="0"/>
    </xf>
    <xf numFmtId="43" fontId="73" fillId="10" borderId="42" xfId="488" applyNumberFormat="1" applyFont="1" applyFill="1" applyBorder="1" applyAlignment="1" applyProtection="1">
      <alignment horizontal="left" vertical="center" shrinkToFit="1"/>
      <protection locked="0"/>
    </xf>
    <xf numFmtId="186" fontId="74" fillId="10" borderId="0" xfId="488" applyNumberFormat="1" applyFont="1" applyFill="1" applyBorder="1" applyAlignment="1" applyProtection="1">
      <alignment horizontal="left" vertical="center"/>
      <protection locked="0"/>
    </xf>
    <xf numFmtId="0" fontId="75" fillId="0" borderId="22" xfId="486" applyFont="1" applyFill="1" applyBorder="1" applyAlignment="1">
      <alignment horizontal="center" vertical="center" wrapText="1"/>
    </xf>
    <xf numFmtId="0" fontId="75" fillId="0" borderId="43" xfId="486" applyFont="1" applyFill="1" applyBorder="1" applyAlignment="1">
      <alignment horizontal="center" vertical="center" wrapText="1"/>
    </xf>
    <xf numFmtId="177" fontId="75" fillId="0" borderId="43" xfId="486" applyNumberFormat="1" applyFont="1" applyFill="1" applyBorder="1" applyAlignment="1">
      <alignment horizontal="center" vertical="center" wrapText="1"/>
    </xf>
    <xf numFmtId="187" fontId="75" fillId="0" borderId="43" xfId="486" applyNumberFormat="1" applyFont="1" applyFill="1" applyBorder="1" applyAlignment="1">
      <alignment horizontal="center" vertical="center" wrapText="1"/>
    </xf>
    <xf numFmtId="0" fontId="75" fillId="0" borderId="44" xfId="486" applyFont="1" applyFill="1" applyBorder="1" applyAlignment="1">
      <alignment horizontal="center" vertical="center" wrapText="1"/>
    </xf>
    <xf numFmtId="0" fontId="51" fillId="0" borderId="35" xfId="486" applyFont="1" applyFill="1" applyBorder="1" applyAlignment="1">
      <alignment horizontal="center" vertical="center"/>
    </xf>
    <xf numFmtId="0" fontId="51" fillId="0" borderId="7" xfId="486" applyFont="1" applyFill="1" applyBorder="1" applyAlignment="1">
      <alignment horizontal="center" vertical="center"/>
    </xf>
    <xf numFmtId="43" fontId="51" fillId="0" borderId="7" xfId="486" applyNumberFormat="1" applyFont="1" applyFill="1" applyBorder="1" applyAlignment="1">
      <alignment horizontal="left" vertical="center"/>
    </xf>
    <xf numFmtId="177" fontId="51" fillId="0" borderId="7" xfId="486" applyNumberFormat="1" applyFont="1" applyFill="1" applyBorder="1" applyAlignment="1">
      <alignment horizontal="center" vertical="center"/>
    </xf>
    <xf numFmtId="187" fontId="51" fillId="0" borderId="7" xfId="486" applyNumberFormat="1" applyFont="1" applyFill="1" applyBorder="1" applyAlignment="1">
      <alignment horizontal="right" vertical="center"/>
    </xf>
    <xf numFmtId="0" fontId="51" fillId="0" borderId="36" xfId="486" applyFont="1" applyFill="1" applyBorder="1" applyAlignment="1">
      <alignment horizontal="left" vertical="center"/>
    </xf>
    <xf numFmtId="43" fontId="51" fillId="0" borderId="7" xfId="486" applyNumberFormat="1" applyFont="1" applyFill="1" applyBorder="1" applyAlignment="1">
      <alignment vertical="center"/>
    </xf>
    <xf numFmtId="43" fontId="51" fillId="0" borderId="7" xfId="486" applyNumberFormat="1" applyFont="1" applyFill="1" applyBorder="1" applyAlignment="1">
      <alignment horizontal="center" vertical="center"/>
    </xf>
    <xf numFmtId="0" fontId="51" fillId="0" borderId="36" xfId="486" applyFont="1" applyFill="1" applyBorder="1" applyAlignment="1">
      <alignment vertical="center" wrapText="1"/>
    </xf>
    <xf numFmtId="43" fontId="76" fillId="0" borderId="7" xfId="486" applyNumberFormat="1" applyFont="1" applyFill="1" applyBorder="1" applyAlignment="1">
      <alignment horizontal="center" vertical="center"/>
    </xf>
    <xf numFmtId="187" fontId="76" fillId="0" borderId="7" xfId="486" applyNumberFormat="1" applyFont="1" applyFill="1" applyBorder="1" applyAlignment="1">
      <alignment horizontal="right" vertical="center"/>
    </xf>
    <xf numFmtId="0" fontId="51" fillId="0" borderId="36" xfId="486" applyFont="1" applyFill="1" applyBorder="1" applyAlignment="1">
      <alignment vertical="center"/>
    </xf>
    <xf numFmtId="0" fontId="51" fillId="0" borderId="7" xfId="486" applyFont="1" applyFill="1" applyBorder="1" applyAlignment="1">
      <alignment horizontal="center" vertical="center" wrapText="1"/>
    </xf>
    <xf numFmtId="10" fontId="76" fillId="0" borderId="7" xfId="486" applyNumberFormat="1" applyFont="1" applyFill="1" applyBorder="1" applyAlignment="1">
      <alignment horizontal="center" vertical="center"/>
    </xf>
    <xf numFmtId="0" fontId="37" fillId="11" borderId="35" xfId="486" applyFont="1" applyFill="1" applyBorder="1" applyAlignment="1">
      <alignment horizontal="center" vertical="center"/>
    </xf>
    <xf numFmtId="0" fontId="37" fillId="11" borderId="7" xfId="486" applyFont="1" applyFill="1" applyBorder="1" applyAlignment="1">
      <alignment horizontal="center" vertical="center"/>
    </xf>
    <xf numFmtId="187" fontId="37" fillId="11" borderId="7" xfId="486" applyNumberFormat="1" applyFont="1" applyFill="1" applyBorder="1" applyAlignment="1">
      <alignment vertical="center"/>
    </xf>
    <xf numFmtId="0" fontId="51" fillId="11" borderId="36" xfId="486" applyFont="1" applyFill="1" applyBorder="1" applyAlignment="1">
      <alignment horizontal="left" vertical="center"/>
    </xf>
    <xf numFmtId="0" fontId="37" fillId="11" borderId="37" xfId="486" applyFont="1" applyFill="1" applyBorder="1" applyAlignment="1">
      <alignment horizontal="center" vertical="center"/>
    </xf>
    <xf numFmtId="0" fontId="37" fillId="11" borderId="38" xfId="486" applyFont="1" applyFill="1" applyBorder="1" applyAlignment="1">
      <alignment horizontal="center" vertical="center"/>
    </xf>
    <xf numFmtId="187" fontId="37" fillId="11" borderId="38" xfId="486" applyNumberFormat="1" applyFont="1" applyFill="1" applyBorder="1" applyAlignment="1">
      <alignment vertical="center"/>
    </xf>
    <xf numFmtId="0" fontId="51" fillId="11" borderId="42" xfId="486" applyFont="1" applyFill="1" applyBorder="1" applyAlignment="1">
      <alignment horizontal="left" vertical="center"/>
    </xf>
    <xf numFmtId="184" fontId="68" fillId="10" borderId="0" xfId="488" applyNumberFormat="1" applyFont="1" applyFill="1" applyBorder="1" applyAlignment="1" applyProtection="1">
      <alignment horizontal="right" vertical="center"/>
      <protection locked="0"/>
    </xf>
    <xf numFmtId="0" fontId="20" fillId="10" borderId="0" xfId="489" applyFont="1" applyFill="1" applyBorder="1" applyAlignment="1">
      <alignment horizontal="right" vertical="center"/>
    </xf>
    <xf numFmtId="14" fontId="66" fillId="10" borderId="0" xfId="0" applyNumberFormat="1" applyFont="1" applyFill="1" applyBorder="1" applyAlignment="1" applyProtection="1">
      <alignment horizontal="left" vertical="center"/>
      <protection locked="0"/>
    </xf>
    <xf numFmtId="0" fontId="77" fillId="10" borderId="0" xfId="489" applyNumberFormat="1" applyFont="1" applyFill="1" applyBorder="1" applyAlignment="1" applyProtection="1">
      <alignment horizontal="right" vertical="center"/>
      <protection locked="0"/>
    </xf>
    <xf numFmtId="0" fontId="78" fillId="10" borderId="0" xfId="489" applyNumberFormat="1" applyFont="1" applyFill="1" applyBorder="1" applyAlignment="1" applyProtection="1">
      <alignment horizontal="left" vertical="center"/>
      <protection locked="0"/>
    </xf>
    <xf numFmtId="0" fontId="79" fillId="10" borderId="0" xfId="489" applyNumberFormat="1" applyFont="1" applyFill="1" applyBorder="1" applyAlignment="1" applyProtection="1">
      <alignment horizontal="right" vertical="center"/>
      <protection locked="0"/>
    </xf>
    <xf numFmtId="0" fontId="80" fillId="10" borderId="0" xfId="489" applyNumberFormat="1" applyFont="1" applyFill="1" applyBorder="1" applyAlignment="1" applyProtection="1">
      <alignment horizontal="left" vertical="center"/>
      <protection locked="0"/>
    </xf>
    <xf numFmtId="0" fontId="81" fillId="10" borderId="0" xfId="489" applyNumberFormat="1" applyFont="1" applyFill="1" applyBorder="1" applyAlignment="1" applyProtection="1">
      <alignment horizontal="left" vertical="center"/>
      <protection locked="0"/>
    </xf>
    <xf numFmtId="0" fontId="82" fillId="10" borderId="0" xfId="489" applyNumberFormat="1" applyFont="1" applyFill="1" applyBorder="1" applyAlignment="1" applyProtection="1">
      <alignment horizontal="left" vertical="center"/>
      <protection locked="0"/>
    </xf>
    <xf numFmtId="0" fontId="83" fillId="10" borderId="0" xfId="489" applyNumberFormat="1" applyFont="1" applyFill="1" applyBorder="1" applyAlignment="1" applyProtection="1">
      <alignment horizontal="left" vertical="center"/>
      <protection locked="0"/>
    </xf>
    <xf numFmtId="0" fontId="69" fillId="10" borderId="0" xfId="144" applyFont="1" applyFill="1" applyBorder="1" applyAlignment="1">
      <alignment horizontal="left" vertical="center"/>
    </xf>
    <xf numFmtId="0" fontId="69" fillId="10" borderId="0" xfId="144" applyFont="1" applyFill="1" applyAlignment="1">
      <alignment horizontal="left" vertical="center"/>
    </xf>
    <xf numFmtId="0" fontId="82" fillId="10" borderId="0" xfId="489" applyNumberFormat="1" applyFont="1" applyFill="1" applyBorder="1" applyAlignment="1" applyProtection="1">
      <alignment horizontal="right" vertical="center"/>
      <protection locked="0"/>
    </xf>
    <xf numFmtId="0" fontId="69" fillId="10" borderId="0" xfId="144" applyFont="1" applyFill="1" applyBorder="1" applyAlignment="1">
      <alignment horizontal="left" vertical="center" wrapText="1"/>
    </xf>
    <xf numFmtId="0" fontId="69" fillId="10" borderId="0" xfId="144" applyFont="1" applyFill="1" applyAlignment="1">
      <alignment horizontal="left" vertical="center" wrapText="1"/>
    </xf>
    <xf numFmtId="49" fontId="84" fillId="10" borderId="0" xfId="489" applyNumberFormat="1" applyFont="1" applyFill="1" applyBorder="1" applyAlignment="1" applyProtection="1">
      <alignment horizontal="left" vertical="center"/>
      <protection locked="0"/>
    </xf>
    <xf numFmtId="0" fontId="85" fillId="10" borderId="0" xfId="0" applyFont="1" applyFill="1" applyBorder="1" applyAlignment="1">
      <alignment horizontal="left" vertical="center"/>
    </xf>
    <xf numFmtId="0" fontId="86" fillId="10" borderId="0" xfId="0" applyFont="1" applyFill="1" applyAlignment="1">
      <alignment vertical="center"/>
    </xf>
    <xf numFmtId="49" fontId="74" fillId="10" borderId="0" xfId="488" applyNumberFormat="1" applyFont="1" applyFill="1" applyBorder="1" applyAlignment="1" applyProtection="1">
      <alignment horizontal="left" vertical="center"/>
      <protection locked="0"/>
    </xf>
    <xf numFmtId="49" fontId="67" fillId="10" borderId="0" xfId="489" applyNumberFormat="1" applyFont="1" applyFill="1" applyBorder="1" applyAlignment="1" applyProtection="1">
      <alignment horizontal="left" vertical="center"/>
      <protection locked="0"/>
    </xf>
    <xf numFmtId="49" fontId="20" fillId="10" borderId="0" xfId="489" applyNumberFormat="1" applyFont="1" applyFill="1" applyBorder="1" applyAlignment="1" applyProtection="1">
      <alignment horizontal="left" vertical="center"/>
      <protection locked="0"/>
    </xf>
    <xf numFmtId="49" fontId="68" fillId="10" borderId="0" xfId="488" applyNumberFormat="1" applyFont="1" applyFill="1" applyBorder="1" applyAlignment="1" applyProtection="1">
      <alignment horizontal="left" vertical="center"/>
      <protection locked="0"/>
    </xf>
    <xf numFmtId="49" fontId="50" fillId="10" borderId="0" xfId="488" applyNumberFormat="1" applyFont="1" applyFill="1" applyBorder="1" applyAlignment="1" applyProtection="1">
      <alignment horizontal="left" vertical="center"/>
      <protection locked="0"/>
    </xf>
    <xf numFmtId="0" fontId="14" fillId="10" borderId="0" xfId="0" applyFont="1" applyFill="1" applyAlignment="1">
      <alignment horizontal="left" vertical="center" wrapText="1"/>
    </xf>
    <xf numFmtId="49" fontId="50" fillId="0" borderId="7" xfId="272" applyNumberFormat="1" applyFont="1" applyBorder="1" applyAlignment="1" applyProtection="1" quotePrefix="1">
      <protection locked="0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58" fillId="0" borderId="7" xfId="0" applyNumberFormat="1" applyFont="1" applyFill="1" applyBorder="1" applyAlignment="1" quotePrefix="1">
      <alignment horizontal="center" vertical="center"/>
    </xf>
    <xf numFmtId="0" fontId="15" fillId="0" borderId="7" xfId="308" applyFont="1" applyFill="1" applyBorder="1" applyAlignment="1" quotePrefix="1">
      <alignment horizontal="center" vertical="center" wrapText="1"/>
    </xf>
    <xf numFmtId="0" fontId="31" fillId="0" borderId="0" xfId="0" applyFont="1" applyFill="1" applyAlignment="1" quotePrefix="1">
      <alignment vertical="center"/>
    </xf>
  </cellXfs>
  <cellStyles count="490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常规_全国客服表格" xfId="363"/>
    <cellStyle name="输入 3 2 2" xfId="364"/>
    <cellStyle name="常规 2 3 2" xfId="365"/>
    <cellStyle name="常规 2 3 3" xfId="366"/>
    <cellStyle name="常规 2 3 4" xfId="367"/>
    <cellStyle name="输入 3 3" xfId="368"/>
    <cellStyle name="常规 2 4" xfId="369"/>
    <cellStyle name="常规 2 4 2" xfId="370"/>
    <cellStyle name="强调文字颜色 4 2" xfId="371"/>
    <cellStyle name="常规 2 5" xfId="372"/>
    <cellStyle name="强调文字颜色 4 2 2" xfId="373"/>
    <cellStyle name="常规 2 5 2" xfId="374"/>
    <cellStyle name="强调文字颜色 4 3" xfId="375"/>
    <cellStyle name="常规 2 6" xfId="376"/>
    <cellStyle name="强调文字颜色 4 3 2" xfId="377"/>
    <cellStyle name="常规 2 6 2" xfId="378"/>
    <cellStyle name="常规 2 6 2 2" xfId="379"/>
    <cellStyle name="常规 27" xfId="380"/>
    <cellStyle name="适中 4" xfId="381"/>
    <cellStyle name="常规 3 2 2" xfId="382"/>
    <cellStyle name="常规 3 3 2" xfId="383"/>
    <cellStyle name="常规 3 3 3" xfId="384"/>
    <cellStyle name="常规 3 4" xfId="385"/>
    <cellStyle name="常规 3 4 2" xfId="386"/>
    <cellStyle name="强调文字颜色 5 2" xfId="387"/>
    <cellStyle name="常规 3 5" xfId="388"/>
    <cellStyle name="强调文字颜色 5 2 2" xfId="389"/>
    <cellStyle name="常规 3 5 2" xfId="390"/>
    <cellStyle name="常规 4 4" xfId="391"/>
    <cellStyle name="常规 4 2 2" xfId="392"/>
    <cellStyle name="输入 5 2" xfId="393"/>
    <cellStyle name="常规 4 3" xfId="394"/>
    <cellStyle name="常规 7 2" xfId="395"/>
    <cellStyle name="强调文字颜色 6 3 2" xfId="396"/>
    <cellStyle name="常规 8 4" xfId="397"/>
    <cellStyle name="常规 9" xfId="398"/>
    <cellStyle name="注释 5 2" xfId="399"/>
    <cellStyle name="警告文本 2" xfId="400"/>
    <cellStyle name="常规_付款通知书智联（神数系统）" xfId="401"/>
    <cellStyle name="好 2 2" xfId="402"/>
    <cellStyle name="好 3" xfId="403"/>
    <cellStyle name="好 4" xfId="404"/>
    <cellStyle name="汇总 2" xfId="405"/>
    <cellStyle name="检查单元格 2 2" xfId="406"/>
    <cellStyle name="汇总 2 3 2" xfId="407"/>
    <cellStyle name="汇总 4" xfId="408"/>
    <cellStyle name="汇总 5" xfId="409"/>
    <cellStyle name="常规_Sheet1" xfId="410"/>
    <cellStyle name="强调文字颜色 3 5" xfId="411"/>
    <cellStyle name="汇总 5 2" xfId="412"/>
    <cellStyle name="检查单元格 2 3" xfId="413"/>
    <cellStyle name="检查单元格 4" xfId="414"/>
    <cellStyle name="检查单元格 5" xfId="415"/>
    <cellStyle name="解释性文本 2" xfId="416"/>
    <cellStyle name="解释性文本 3 2" xfId="417"/>
    <cellStyle name="解释性文本 4" xfId="418"/>
    <cellStyle name="注释 5 3" xfId="419"/>
    <cellStyle name="警告文本 3" xfId="420"/>
    <cellStyle name="警告文本 4" xfId="421"/>
    <cellStyle name="警告文本 5" xfId="422"/>
    <cellStyle name="注释 2 3 2" xfId="423"/>
    <cellStyle name="链接单元格 2" xfId="424"/>
    <cellStyle name="注释 2 3 2 2" xfId="425"/>
    <cellStyle name="链接单元格 2 2" xfId="426"/>
    <cellStyle name="链接单元格 2 3" xfId="427"/>
    <cellStyle name="千位分隔 2" xfId="428"/>
    <cellStyle name="千位分隔 2 2" xfId="429"/>
    <cellStyle name="强调文字颜色 1 2" xfId="430"/>
    <cellStyle name="强调文字颜色 1 2 2" xfId="431"/>
    <cellStyle name="强调文字颜色 1 3" xfId="432"/>
    <cellStyle name="强调文字颜色 1 3 2" xfId="433"/>
    <cellStyle name="强调文字颜色 2 2" xfId="434"/>
    <cellStyle name="强调文字颜色 2 2 2" xfId="435"/>
    <cellStyle name="强调文字颜色 2 3" xfId="436"/>
    <cellStyle name="输入 2 4" xfId="437"/>
    <cellStyle name="强调文字颜色 3 2" xfId="438"/>
    <cellStyle name="强调文字颜色 3 3" xfId="439"/>
    <cellStyle name="强调文字颜色 3 4" xfId="440"/>
    <cellStyle name="强调文字颜色 4 4" xfId="441"/>
    <cellStyle name="输入 2" xfId="442"/>
    <cellStyle name="强调文字颜色 4 5" xfId="443"/>
    <cellStyle name="强调文字颜色 5 3" xfId="444"/>
    <cellStyle name="强调文字颜色 5 3 2" xfId="445"/>
    <cellStyle name="强调文字颜色 5 4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_0705 UL South CS meeting (chonghua)" xfId="486"/>
    <cellStyle name="㼿㼿㼿㼿㼿" xfId="487"/>
    <cellStyle name="㼿㼿㼿㼿㼿㼿㼿" xfId="488"/>
    <cellStyle name="㼿㼿㼿㼿? 2" xfId="48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42" t="s">
        <v>51</v>
      </c>
      <c r="D4" s="37" t="s">
        <v>52</v>
      </c>
      <c r="E4" s="243" t="s">
        <v>53</v>
      </c>
      <c r="F4" s="38" t="str">
        <f>IF(MOD(MID(E4,17,1),2)=1,"男","女")</f>
        <v>男</v>
      </c>
      <c r="G4" s="244">
        <v>18035163638</v>
      </c>
      <c r="H4" s="245"/>
      <c r="I4" s="245"/>
      <c r="J4" s="247"/>
      <c r="K4" s="245"/>
      <c r="L4" s="248">
        <v>9500</v>
      </c>
      <c r="M4" s="248">
        <v>264</v>
      </c>
      <c r="N4" s="248">
        <v>66</v>
      </c>
      <c r="O4" s="248">
        <v>9.9</v>
      </c>
      <c r="P4" s="248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246" t="s">
        <v>57</v>
      </c>
      <c r="D5" s="37" t="s">
        <v>52</v>
      </c>
      <c r="E5" s="365" t="s">
        <v>58</v>
      </c>
      <c r="F5" s="38" t="str">
        <f>IF(MOD(MID(E5,17,1),2)=1,"男","女")</f>
        <v>女</v>
      </c>
      <c r="G5" s="244">
        <v>13926009696</v>
      </c>
      <c r="H5" s="245"/>
      <c r="I5" s="245"/>
      <c r="J5" s="247"/>
      <c r="K5" s="245"/>
      <c r="L5" s="248">
        <v>5800</v>
      </c>
      <c r="M5" s="248">
        <v>304.24</v>
      </c>
      <c r="N5" s="248">
        <v>123.5</v>
      </c>
      <c r="O5" s="248">
        <v>7.61</v>
      </c>
      <c r="P5" s="248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B25" sqref="B25:F26"/>
    </sheetView>
  </sheetViews>
  <sheetFormatPr defaultColWidth="9" defaultRowHeight="13.5"/>
  <cols>
    <col min="1" max="2" width="9" style="262"/>
    <col min="3" max="3" width="10.75" style="262" customWidth="1"/>
    <col min="4" max="4" width="16.75" style="262" customWidth="1"/>
    <col min="5" max="5" width="11.75" style="262" customWidth="1"/>
    <col min="6" max="6" width="9" style="262"/>
    <col min="7" max="7" width="10.75" style="262" customWidth="1"/>
    <col min="8" max="12" width="9" style="262"/>
    <col min="13" max="13" width="9.5" style="262" customWidth="1"/>
    <col min="14" max="14" width="16.5" style="262" customWidth="1"/>
    <col min="15" max="16384" width="9" style="262"/>
  </cols>
  <sheetData>
    <row r="1" s="262" customFormat="1" ht="25.5" spans="1:14">
      <c r="A1" s="263" t="s">
        <v>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="262" customFormat="1" ht="14.25" spans="1:14">
      <c r="A2" s="264"/>
      <c r="B2" s="265"/>
      <c r="C2" s="265"/>
      <c r="D2" s="266"/>
      <c r="E2" s="266"/>
      <c r="F2" s="266"/>
      <c r="G2" s="264"/>
      <c r="H2" s="264"/>
      <c r="I2" s="264"/>
      <c r="J2" s="266"/>
      <c r="K2" s="266"/>
      <c r="L2" s="266"/>
      <c r="M2" s="266"/>
      <c r="N2" s="266"/>
    </row>
    <row r="3" s="262" customFormat="1" spans="1:14">
      <c r="A3" s="267"/>
      <c r="B3" s="268"/>
      <c r="C3" s="269"/>
      <c r="D3" s="270"/>
      <c r="E3" s="271"/>
      <c r="F3" s="271"/>
      <c r="G3" s="272"/>
      <c r="H3" s="273"/>
      <c r="I3" s="268"/>
      <c r="J3" s="269"/>
      <c r="K3" s="270"/>
      <c r="L3" s="341"/>
      <c r="M3" s="266"/>
      <c r="N3" s="266"/>
    </row>
    <row r="4" s="262" customFormat="1" spans="1:14">
      <c r="A4" s="267"/>
      <c r="B4" s="274" t="s">
        <v>73</v>
      </c>
      <c r="C4" s="274"/>
      <c r="D4" s="274"/>
      <c r="E4" s="274"/>
      <c r="F4" s="275"/>
      <c r="G4" s="274"/>
      <c r="H4" s="273"/>
      <c r="K4" s="266"/>
      <c r="L4" s="342"/>
      <c r="M4" s="343"/>
      <c r="N4" s="266"/>
    </row>
    <row r="5" s="262" customFormat="1" spans="1:14">
      <c r="A5" s="276"/>
      <c r="B5" s="277" t="s">
        <v>74</v>
      </c>
      <c r="C5" s="270"/>
      <c r="D5" s="270"/>
      <c r="E5" s="270"/>
      <c r="F5" s="270"/>
      <c r="G5" s="270"/>
      <c r="H5" s="278"/>
      <c r="I5" s="273"/>
      <c r="J5" s="268"/>
      <c r="K5" s="269"/>
      <c r="L5" s="341"/>
      <c r="M5" s="266"/>
      <c r="N5" s="266"/>
    </row>
    <row r="6" s="262" customFormat="1" ht="9.75" customHeight="1" spans="1:14">
      <c r="A6" s="279"/>
      <c r="B6" s="279"/>
      <c r="C6" s="279"/>
      <c r="D6" s="279"/>
      <c r="E6" s="279"/>
      <c r="F6" s="279"/>
      <c r="G6" s="279"/>
      <c r="H6" s="279"/>
      <c r="I6" s="344"/>
      <c r="J6" s="344"/>
      <c r="K6" s="345"/>
      <c r="L6" s="345"/>
      <c r="M6" s="345"/>
      <c r="N6" s="345"/>
    </row>
    <row r="7" s="262" customFormat="1" ht="15" spans="1:14">
      <c r="A7" s="279"/>
      <c r="B7" s="280" t="s">
        <v>75</v>
      </c>
      <c r="C7" s="281"/>
      <c r="D7" s="281"/>
      <c r="E7" s="281"/>
      <c r="F7" s="281"/>
      <c r="G7" s="281"/>
      <c r="H7" s="281"/>
      <c r="I7" s="346" t="s">
        <v>76</v>
      </c>
      <c r="J7" s="346"/>
      <c r="K7" s="347"/>
      <c r="L7" s="265"/>
      <c r="M7" s="265"/>
      <c r="N7" s="348"/>
    </row>
    <row r="8" s="262" customFormat="1" ht="14.25" spans="1:14">
      <c r="A8" s="279"/>
      <c r="B8" s="282" t="s">
        <v>77</v>
      </c>
      <c r="C8" s="283"/>
      <c r="D8" s="283"/>
      <c r="E8" s="284">
        <f>D10</f>
        <v>69990.31</v>
      </c>
      <c r="F8" s="285"/>
      <c r="G8" s="285"/>
      <c r="H8" s="286"/>
      <c r="I8" s="349"/>
      <c r="J8" s="350" t="s">
        <v>78</v>
      </c>
      <c r="K8" s="350"/>
      <c r="L8" s="350"/>
      <c r="M8" s="350"/>
      <c r="N8" s="350"/>
    </row>
    <row r="9" s="262" customFormat="1" ht="14.25" spans="1:14">
      <c r="A9" s="279"/>
      <c r="B9" s="287" t="s">
        <v>79</v>
      </c>
      <c r="C9" s="288"/>
      <c r="D9" s="288"/>
      <c r="E9" s="289">
        <f>G25</f>
        <v>69990.31</v>
      </c>
      <c r="F9" s="290"/>
      <c r="G9" s="290"/>
      <c r="H9" s="291"/>
      <c r="I9" s="350"/>
      <c r="J9" s="351" t="s">
        <v>80</v>
      </c>
      <c r="K9" s="351"/>
      <c r="L9" s="351"/>
      <c r="M9" s="351"/>
      <c r="N9" s="352"/>
    </row>
    <row r="10" s="262" customFormat="1" ht="15" spans="1:14">
      <c r="A10" s="279"/>
      <c r="B10" s="292" t="s">
        <v>81</v>
      </c>
      <c r="C10" s="293"/>
      <c r="D10" s="294">
        <f>G25</f>
        <v>69990.31</v>
      </c>
      <c r="E10" s="295" t="s">
        <v>82</v>
      </c>
      <c r="F10" s="296"/>
      <c r="G10" s="297"/>
      <c r="H10" s="298">
        <v>0</v>
      </c>
      <c r="I10" s="353"/>
      <c r="J10" s="354" t="s">
        <v>83</v>
      </c>
      <c r="K10" s="354"/>
      <c r="L10" s="354"/>
      <c r="M10" s="354"/>
      <c r="N10" s="355"/>
    </row>
    <row r="11" s="262" customFormat="1" ht="14.25" spans="1:14">
      <c r="A11" s="279"/>
      <c r="B11" s="299" t="s">
        <v>84</v>
      </c>
      <c r="C11" s="300"/>
      <c r="D11" s="301"/>
      <c r="E11" s="302" t="s">
        <v>85</v>
      </c>
      <c r="F11" s="303"/>
      <c r="G11" s="304"/>
      <c r="H11" s="305"/>
      <c r="I11" s="356"/>
      <c r="J11" s="357"/>
      <c r="K11" s="356"/>
      <c r="L11" s="356"/>
      <c r="M11" s="356"/>
      <c r="N11" s="358"/>
    </row>
    <row r="12" s="262" customFormat="1" spans="1:14">
      <c r="A12" s="276"/>
      <c r="B12" s="299" t="s">
        <v>86</v>
      </c>
      <c r="C12" s="300"/>
      <c r="D12" s="301">
        <v>0</v>
      </c>
      <c r="E12" s="302" t="s">
        <v>87</v>
      </c>
      <c r="F12" s="303"/>
      <c r="G12" s="304"/>
      <c r="H12" s="305"/>
      <c r="I12" s="359"/>
      <c r="J12" s="360"/>
      <c r="K12" s="361"/>
      <c r="L12" s="361"/>
      <c r="M12" s="361"/>
      <c r="N12" s="361"/>
    </row>
    <row r="13" s="262" customFormat="1" ht="14.25" spans="1:14">
      <c r="A13" s="266"/>
      <c r="B13" s="306" t="s">
        <v>88</v>
      </c>
      <c r="C13" s="307"/>
      <c r="D13" s="308">
        <v>0</v>
      </c>
      <c r="E13" s="309"/>
      <c r="F13" s="310"/>
      <c r="G13" s="311"/>
      <c r="H13" s="312"/>
      <c r="I13" s="279"/>
      <c r="J13" s="362"/>
      <c r="K13" s="363"/>
      <c r="L13" s="363"/>
      <c r="M13" s="363"/>
      <c r="N13" s="363"/>
    </row>
    <row r="14" s="262" customFormat="1" ht="5.25" customHeight="1" spans="1:14">
      <c r="A14" s="313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</row>
    <row r="15" s="262" customFormat="1" spans="1:14">
      <c r="A15" s="266" t="s">
        <v>89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</row>
    <row r="16" s="262" customFormat="1" ht="3" customHeight="1" spans="1:14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</row>
    <row r="17" s="262" customFormat="1" ht="18.75" spans="2:13">
      <c r="B17" s="314" t="s">
        <v>2</v>
      </c>
      <c r="C17" s="315" t="s">
        <v>90</v>
      </c>
      <c r="D17" s="315" t="s">
        <v>91</v>
      </c>
      <c r="E17" s="315"/>
      <c r="F17" s="316" t="s">
        <v>92</v>
      </c>
      <c r="G17" s="317" t="s">
        <v>93</v>
      </c>
      <c r="H17" s="318" t="s">
        <v>94</v>
      </c>
      <c r="J17" s="364" t="s">
        <v>95</v>
      </c>
      <c r="K17" s="364"/>
      <c r="L17" s="364"/>
      <c r="M17" s="364"/>
    </row>
    <row r="18" s="262" customFormat="1" ht="16.5" spans="2:13">
      <c r="B18" s="319">
        <v>1</v>
      </c>
      <c r="C18" s="320" t="s">
        <v>96</v>
      </c>
      <c r="D18" s="321" t="s">
        <v>97</v>
      </c>
      <c r="E18" s="321"/>
      <c r="F18" s="322"/>
      <c r="G18" s="323">
        <f>'（居民）工资表-11月'!E14</f>
        <v>69990.31</v>
      </c>
      <c r="H18" s="324"/>
      <c r="J18" s="364"/>
      <c r="K18" s="364"/>
      <c r="L18" s="364"/>
      <c r="M18" s="364"/>
    </row>
    <row r="19" s="262" customFormat="1" ht="16.5" spans="2:13">
      <c r="B19" s="319">
        <v>2</v>
      </c>
      <c r="C19" s="320"/>
      <c r="D19" s="325" t="s">
        <v>98</v>
      </c>
      <c r="E19" s="326" t="s">
        <v>99</v>
      </c>
      <c r="F19" s="322"/>
      <c r="G19" s="323"/>
      <c r="H19" s="327"/>
      <c r="J19" s="364"/>
      <c r="K19" s="364"/>
      <c r="L19" s="364"/>
      <c r="M19" s="364"/>
    </row>
    <row r="20" s="262" customFormat="1" ht="16.5" spans="2:13">
      <c r="B20" s="319">
        <v>3</v>
      </c>
      <c r="C20" s="320"/>
      <c r="D20" s="325" t="s">
        <v>100</v>
      </c>
      <c r="E20" s="326" t="s">
        <v>99</v>
      </c>
      <c r="F20" s="322"/>
      <c r="G20" s="323"/>
      <c r="H20" s="327"/>
      <c r="J20" s="364"/>
      <c r="K20" s="364"/>
      <c r="L20" s="364"/>
      <c r="M20" s="364"/>
    </row>
    <row r="21" s="262" customFormat="1" ht="16.5" spans="2:13">
      <c r="B21" s="319">
        <v>6</v>
      </c>
      <c r="C21" s="320"/>
      <c r="D21" s="328" t="s">
        <v>101</v>
      </c>
      <c r="E21" s="328"/>
      <c r="F21" s="322"/>
      <c r="G21" s="329">
        <f>G18+G19+G20</f>
        <v>69990.31</v>
      </c>
      <c r="H21" s="330"/>
      <c r="J21" s="364"/>
      <c r="K21" s="364"/>
      <c r="L21" s="364"/>
      <c r="M21" s="364"/>
    </row>
    <row r="22" s="262" customFormat="1" ht="16.5" spans="2:13">
      <c r="B22" s="319">
        <v>7</v>
      </c>
      <c r="C22" s="320" t="s">
        <v>102</v>
      </c>
      <c r="D22" s="328" t="s">
        <v>103</v>
      </c>
      <c r="E22" s="328"/>
      <c r="F22" s="322"/>
      <c r="G22" s="329"/>
      <c r="H22" s="324"/>
      <c r="J22" s="364"/>
      <c r="K22" s="364"/>
      <c r="L22" s="364"/>
      <c r="M22" s="364"/>
    </row>
    <row r="23" s="262" customFormat="1" ht="16.5" spans="2:13">
      <c r="B23" s="319">
        <v>8</v>
      </c>
      <c r="C23" s="331" t="s">
        <v>104</v>
      </c>
      <c r="D23" s="332">
        <v>0.056</v>
      </c>
      <c r="E23" s="332"/>
      <c r="F23" s="332"/>
      <c r="G23" s="329"/>
      <c r="H23" s="324"/>
      <c r="J23" s="364"/>
      <c r="K23" s="364"/>
      <c r="L23" s="364"/>
      <c r="M23" s="364"/>
    </row>
    <row r="24" s="262" customFormat="1" ht="16.5" spans="2:13">
      <c r="B24" s="319"/>
      <c r="C24" s="331" t="s">
        <v>105</v>
      </c>
      <c r="D24" s="332"/>
      <c r="E24" s="332"/>
      <c r="F24" s="332"/>
      <c r="G24" s="329"/>
      <c r="H24" s="324"/>
      <c r="J24" s="364"/>
      <c r="K24" s="364"/>
      <c r="L24" s="364"/>
      <c r="M24" s="364"/>
    </row>
    <row r="25" s="262" customFormat="1" ht="16.5" spans="2:8">
      <c r="B25" s="333" t="s">
        <v>106</v>
      </c>
      <c r="C25" s="334"/>
      <c r="D25" s="334"/>
      <c r="E25" s="334"/>
      <c r="F25" s="334"/>
      <c r="G25" s="335">
        <f>G21+G22+G23+J27-G24</f>
        <v>69990.31</v>
      </c>
      <c r="H25" s="336"/>
    </row>
    <row r="26" s="262" customFormat="1" ht="16" customHeight="1" spans="2:8">
      <c r="B26" s="337" t="s">
        <v>107</v>
      </c>
      <c r="C26" s="338"/>
      <c r="D26" s="338"/>
      <c r="E26" s="338"/>
      <c r="F26" s="338"/>
      <c r="G26" s="339">
        <f>G25</f>
        <v>69990.31</v>
      </c>
      <c r="H26" s="340"/>
    </row>
    <row r="27" s="262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42" t="s">
        <v>51</v>
      </c>
      <c r="D4" s="37" t="s">
        <v>52</v>
      </c>
      <c r="E4" s="243" t="s">
        <v>53</v>
      </c>
      <c r="F4" s="38" t="str">
        <f>IF(MOD(MID(E4,17,1),2)=1,"男","女")</f>
        <v>男</v>
      </c>
      <c r="G4" s="244">
        <v>18035163638</v>
      </c>
      <c r="H4" s="245"/>
      <c r="I4" s="245"/>
      <c r="J4" s="247"/>
      <c r="K4" s="245"/>
      <c r="L4" s="248">
        <v>10260</v>
      </c>
      <c r="M4" s="248">
        <v>264</v>
      </c>
      <c r="N4" s="248">
        <v>66</v>
      </c>
      <c r="O4" s="248">
        <v>9.9</v>
      </c>
      <c r="P4" s="248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46" t="s">
        <v>57</v>
      </c>
      <c r="D5" s="37" t="s">
        <v>52</v>
      </c>
      <c r="E5" s="365" t="s">
        <v>58</v>
      </c>
      <c r="F5" s="38" t="str">
        <f>IF(MOD(MID(E5,17,1),2)=1,"男","女")</f>
        <v>女</v>
      </c>
      <c r="G5" s="244">
        <v>13926009696</v>
      </c>
      <c r="H5" s="245"/>
      <c r="I5" s="245"/>
      <c r="J5" s="247"/>
      <c r="K5" s="245"/>
      <c r="L5" s="248">
        <v>5800</v>
      </c>
      <c r="M5" s="248">
        <v>304.24</v>
      </c>
      <c r="N5" s="248">
        <v>123.5</v>
      </c>
      <c r="O5" s="248">
        <v>7.61</v>
      </c>
      <c r="P5" s="248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42" t="s">
        <v>51</v>
      </c>
      <c r="D4" s="37" t="s">
        <v>52</v>
      </c>
      <c r="E4" s="243" t="s">
        <v>53</v>
      </c>
      <c r="F4" s="38" t="str">
        <f>IF(MOD(MID(E4,17,1),2)=1,"男","女")</f>
        <v>男</v>
      </c>
      <c r="G4" s="244">
        <v>18035163638</v>
      </c>
      <c r="H4" s="245"/>
      <c r="I4" s="245"/>
      <c r="J4" s="247"/>
      <c r="K4" s="245"/>
      <c r="L4" s="248">
        <v>7700</v>
      </c>
      <c r="M4" s="248">
        <v>264</v>
      </c>
      <c r="N4" s="248">
        <v>66</v>
      </c>
      <c r="O4" s="248">
        <v>9.9</v>
      </c>
      <c r="P4" s="248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46" t="s">
        <v>57</v>
      </c>
      <c r="D5" s="37" t="s">
        <v>52</v>
      </c>
      <c r="E5" s="365" t="s">
        <v>58</v>
      </c>
      <c r="F5" s="38" t="str">
        <f>IF(MOD(MID(E5,17,1),2)=1,"男","女")</f>
        <v>女</v>
      </c>
      <c r="G5" s="244">
        <v>13926009696</v>
      </c>
      <c r="H5" s="245"/>
      <c r="I5" s="245"/>
      <c r="J5" s="247"/>
      <c r="K5" s="245"/>
      <c r="L5" s="248">
        <v>5800</v>
      </c>
      <c r="M5" s="248">
        <v>304.24</v>
      </c>
      <c r="N5" s="248">
        <v>123.5</v>
      </c>
      <c r="O5" s="248">
        <v>7.61</v>
      </c>
      <c r="P5" s="248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60" customWidth="1"/>
    <col min="2" max="2" width="25" style="160" customWidth="1"/>
    <col min="3" max="3" width="7.375" style="160" customWidth="1"/>
    <col min="4" max="4" width="9.5" style="160" customWidth="1"/>
    <col min="5" max="5" width="8.25" style="160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5" style="160" customWidth="1"/>
    <col min="38" max="38" width="9.125" style="160" hidden="1" customWidth="1"/>
    <col min="39" max="42" width="9.25" style="160" hidden="1" customWidth="1"/>
    <col min="43" max="43" width="9.875" style="160" customWidth="1"/>
    <col min="44" max="44" width="9.375" style="160" customWidth="1"/>
    <col min="45" max="45" width="10.25" style="165" customWidth="1"/>
    <col min="46" max="46" width="10" style="165" customWidth="1"/>
    <col min="47" max="49" width="9.25" style="165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6" customWidth="1"/>
    <col min="57" max="57" width="10.625" style="160" customWidth="1"/>
    <col min="58" max="16384" width="9" style="160"/>
  </cols>
  <sheetData>
    <row r="1" s="159" customFormat="1" ht="22.5" customHeight="1" spans="1:56">
      <c r="A1" s="167" t="s">
        <v>2</v>
      </c>
      <c r="B1" s="168" t="s">
        <v>108</v>
      </c>
      <c r="C1" s="168" t="s">
        <v>109</v>
      </c>
      <c r="D1" s="167" t="s">
        <v>110</v>
      </c>
      <c r="E1" s="168" t="s">
        <v>111</v>
      </c>
      <c r="F1" s="168" t="s">
        <v>112</v>
      </c>
      <c r="G1" s="168" t="s">
        <v>113</v>
      </c>
      <c r="H1" s="168" t="s">
        <v>114</v>
      </c>
      <c r="I1" s="168" t="s">
        <v>115</v>
      </c>
      <c r="J1" s="168" t="s">
        <v>116</v>
      </c>
      <c r="K1" s="168" t="s">
        <v>117</v>
      </c>
      <c r="L1" s="196" t="s">
        <v>118</v>
      </c>
      <c r="M1" s="196"/>
      <c r="N1" s="196"/>
      <c r="O1" s="196"/>
      <c r="P1" s="196"/>
      <c r="Q1" s="196" t="s">
        <v>119</v>
      </c>
      <c r="R1" s="196"/>
      <c r="S1" s="196"/>
      <c r="T1" s="196"/>
      <c r="U1" s="196"/>
      <c r="V1" s="196" t="s">
        <v>120</v>
      </c>
      <c r="W1" s="196"/>
      <c r="X1" s="196"/>
      <c r="Y1" s="196"/>
      <c r="Z1" s="196"/>
      <c r="AA1" s="167" t="s">
        <v>121</v>
      </c>
      <c r="AB1" s="167"/>
      <c r="AC1" s="167"/>
      <c r="AD1" s="167" t="s">
        <v>122</v>
      </c>
      <c r="AE1" s="167"/>
      <c r="AF1" s="167"/>
      <c r="AG1" s="196" t="s">
        <v>123</v>
      </c>
      <c r="AH1" s="196"/>
      <c r="AI1" s="196"/>
      <c r="AJ1" s="196"/>
      <c r="AK1" s="196"/>
      <c r="AL1" s="167" t="s">
        <v>124</v>
      </c>
      <c r="AM1" s="167"/>
      <c r="AN1" s="167"/>
      <c r="AO1" s="167"/>
      <c r="AP1" s="167"/>
      <c r="AQ1" s="167" t="s">
        <v>125</v>
      </c>
      <c r="AR1" s="167"/>
      <c r="AS1" s="207" t="s">
        <v>126</v>
      </c>
      <c r="AT1" s="207"/>
      <c r="AU1" s="207"/>
      <c r="AV1" s="207"/>
      <c r="AW1" s="207"/>
      <c r="AX1" s="167" t="s">
        <v>127</v>
      </c>
      <c r="AY1" s="167"/>
      <c r="AZ1" s="167" t="s">
        <v>128</v>
      </c>
      <c r="BA1" s="167"/>
      <c r="BB1" s="167" t="s">
        <v>30</v>
      </c>
      <c r="BC1" s="167" t="s">
        <v>61</v>
      </c>
      <c r="BD1" s="218" t="s">
        <v>94</v>
      </c>
    </row>
    <row r="2" s="160" customFormat="1" ht="22.5" customHeight="1" spans="1:56">
      <c r="A2" s="167"/>
      <c r="B2" s="169"/>
      <c r="C2" s="168"/>
      <c r="D2" s="167"/>
      <c r="E2" s="168"/>
      <c r="F2" s="170"/>
      <c r="G2" s="170"/>
      <c r="H2" s="168"/>
      <c r="I2" s="168"/>
      <c r="J2" s="168"/>
      <c r="K2" s="168"/>
      <c r="L2" s="197" t="s">
        <v>129</v>
      </c>
      <c r="M2" s="197" t="s">
        <v>130</v>
      </c>
      <c r="N2" s="197" t="s">
        <v>131</v>
      </c>
      <c r="O2" s="197" t="s">
        <v>132</v>
      </c>
      <c r="P2" s="197" t="s">
        <v>133</v>
      </c>
      <c r="Q2" s="197" t="s">
        <v>129</v>
      </c>
      <c r="R2" s="197" t="s">
        <v>130</v>
      </c>
      <c r="S2" s="197" t="s">
        <v>131</v>
      </c>
      <c r="T2" s="197" t="s">
        <v>132</v>
      </c>
      <c r="U2" s="197" t="s">
        <v>133</v>
      </c>
      <c r="V2" s="197" t="s">
        <v>129</v>
      </c>
      <c r="W2" s="197" t="s">
        <v>130</v>
      </c>
      <c r="X2" s="197" t="s">
        <v>131</v>
      </c>
      <c r="Y2" s="197" t="s">
        <v>132</v>
      </c>
      <c r="Z2" s="197" t="s">
        <v>133</v>
      </c>
      <c r="AA2" s="197" t="s">
        <v>129</v>
      </c>
      <c r="AB2" s="197" t="s">
        <v>134</v>
      </c>
      <c r="AC2" s="197" t="s">
        <v>93</v>
      </c>
      <c r="AD2" s="197" t="s">
        <v>129</v>
      </c>
      <c r="AE2" s="197" t="s">
        <v>134</v>
      </c>
      <c r="AF2" s="197" t="s">
        <v>93</v>
      </c>
      <c r="AG2" s="197" t="s">
        <v>129</v>
      </c>
      <c r="AH2" s="197" t="s">
        <v>130</v>
      </c>
      <c r="AI2" s="197" t="s">
        <v>131</v>
      </c>
      <c r="AJ2" s="197" t="s">
        <v>132</v>
      </c>
      <c r="AK2" s="197" t="s">
        <v>133</v>
      </c>
      <c r="AL2" s="197" t="s">
        <v>129</v>
      </c>
      <c r="AM2" s="197" t="s">
        <v>130</v>
      </c>
      <c r="AN2" s="197" t="s">
        <v>131</v>
      </c>
      <c r="AO2" s="197" t="s">
        <v>132</v>
      </c>
      <c r="AP2" s="197" t="s">
        <v>133</v>
      </c>
      <c r="AQ2" s="197" t="s">
        <v>135</v>
      </c>
      <c r="AR2" s="197" t="s">
        <v>136</v>
      </c>
      <c r="AS2" s="208" t="s">
        <v>137</v>
      </c>
      <c r="AT2" s="208" t="s">
        <v>138</v>
      </c>
      <c r="AU2" s="208" t="s">
        <v>139</v>
      </c>
      <c r="AV2" s="208" t="s">
        <v>43</v>
      </c>
      <c r="AW2" s="208" t="s">
        <v>101</v>
      </c>
      <c r="AX2" s="167"/>
      <c r="AY2" s="167"/>
      <c r="AZ2" s="167"/>
      <c r="BA2" s="167"/>
      <c r="BB2" s="167"/>
      <c r="BC2" s="167"/>
      <c r="BD2" s="218"/>
    </row>
    <row r="3" s="161" customFormat="1" ht="18" customHeight="1" spans="1:60">
      <c r="A3" s="171">
        <v>1</v>
      </c>
      <c r="B3" s="142" t="s">
        <v>140</v>
      </c>
      <c r="C3" s="131" t="s">
        <v>141</v>
      </c>
      <c r="D3" s="141" t="s">
        <v>142</v>
      </c>
      <c r="E3" s="142" t="s">
        <v>143</v>
      </c>
      <c r="F3" s="143" t="s">
        <v>51</v>
      </c>
      <c r="G3" s="144" t="s">
        <v>53</v>
      </c>
      <c r="H3" s="141" t="s">
        <v>144</v>
      </c>
      <c r="I3" s="141" t="s">
        <v>144</v>
      </c>
      <c r="J3" s="141" t="s">
        <v>145</v>
      </c>
      <c r="K3" s="141" t="s">
        <v>145</v>
      </c>
      <c r="L3" s="171">
        <v>3300</v>
      </c>
      <c r="M3" s="171">
        <v>0.16</v>
      </c>
      <c r="N3" s="171">
        <f t="shared" ref="N3:N8" si="0">ROUND(L3*M3,2)</f>
        <v>528</v>
      </c>
      <c r="O3" s="171">
        <v>0.08</v>
      </c>
      <c r="P3" s="171">
        <f t="shared" ref="P3:P8" si="1">ROUND(L3*O3,2)</f>
        <v>264</v>
      </c>
      <c r="Q3" s="171">
        <v>3300</v>
      </c>
      <c r="R3" s="171">
        <v>0.08</v>
      </c>
      <c r="S3" s="171">
        <f t="shared" ref="S3:S8" si="2">ROUND(Q3*R3,2)</f>
        <v>264</v>
      </c>
      <c r="T3" s="171">
        <v>0.02</v>
      </c>
      <c r="U3" s="171">
        <f t="shared" ref="U3:U8" si="3">ROUND(Q3*T3,2)</f>
        <v>66</v>
      </c>
      <c r="V3" s="171">
        <v>3300</v>
      </c>
      <c r="W3" s="171">
        <v>0.007</v>
      </c>
      <c r="X3" s="171">
        <f t="shared" ref="X3:X8" si="4">ROUND(V3*W3,2)</f>
        <v>23.1</v>
      </c>
      <c r="Y3" s="171">
        <v>0.003</v>
      </c>
      <c r="Z3" s="171">
        <f t="shared" ref="Z3:Z8" si="5">ROUND(V3*Y3,2)</f>
        <v>9.9</v>
      </c>
      <c r="AA3" s="171"/>
      <c r="AB3" s="171"/>
      <c r="AC3" s="171"/>
      <c r="AD3" s="171">
        <v>3300</v>
      </c>
      <c r="AE3" s="171">
        <v>0.002</v>
      </c>
      <c r="AF3" s="171">
        <f t="shared" ref="AF3:AF15" si="6">ROUND(AD3*AE3,2)</f>
        <v>6.6</v>
      </c>
      <c r="AG3" s="171">
        <v>3000</v>
      </c>
      <c r="AH3" s="171">
        <v>0.1</v>
      </c>
      <c r="AI3" s="171">
        <f>ROUND(AG3*AH3,2)</f>
        <v>300</v>
      </c>
      <c r="AJ3" s="171">
        <v>0.06</v>
      </c>
      <c r="AK3" s="171">
        <f>ROUND(AG3*AJ3,2)</f>
        <v>180</v>
      </c>
      <c r="AL3" s="204"/>
      <c r="AM3" s="171"/>
      <c r="AN3" s="171"/>
      <c r="AO3" s="171"/>
      <c r="AP3" s="142" t="s">
        <v>146</v>
      </c>
      <c r="AQ3" s="209">
        <v>5</v>
      </c>
      <c r="AR3" s="171"/>
      <c r="AS3" s="210">
        <f t="shared" ref="AS3:AS15" si="7">N3+S3+X3+AC3+AF3+AN3+AQ3</f>
        <v>826.7</v>
      </c>
      <c r="AT3" s="210">
        <f t="shared" ref="AT3:AT15" si="8">P3+U3+Z3</f>
        <v>339.9</v>
      </c>
      <c r="AU3" s="210">
        <f t="shared" ref="AU3:AU15" si="9">AI3</f>
        <v>300</v>
      </c>
      <c r="AV3" s="210">
        <f t="shared" ref="AV3:AV15" si="10">AK3</f>
        <v>180</v>
      </c>
      <c r="AW3" s="210">
        <f t="shared" ref="AW3:AW15" si="11">AV3+AS3+AT3+AU3</f>
        <v>1646.6</v>
      </c>
      <c r="AX3" s="219">
        <f t="shared" ref="AX3:AX15" si="12">AS3+AT3</f>
        <v>1166.6</v>
      </c>
      <c r="AY3" s="219"/>
      <c r="AZ3" s="219">
        <f t="shared" ref="AZ3:AZ8" si="13">AU3+AV3</f>
        <v>480</v>
      </c>
      <c r="BA3" s="219"/>
      <c r="BB3" s="220">
        <v>80</v>
      </c>
      <c r="BC3" s="219">
        <f t="shared" ref="BC3:BC15" si="14">AX3+AZ3+BB3</f>
        <v>1726.6</v>
      </c>
      <c r="BD3" s="221"/>
      <c r="BE3" s="238"/>
      <c r="BF3" s="239"/>
      <c r="BG3" s="239"/>
      <c r="BH3" s="240" t="s">
        <v>146</v>
      </c>
    </row>
    <row r="4" s="161" customFormat="1" ht="18" customHeight="1" spans="1:60">
      <c r="A4" s="171"/>
      <c r="B4" s="142" t="s">
        <v>140</v>
      </c>
      <c r="C4" s="131" t="s">
        <v>141</v>
      </c>
      <c r="D4" s="141" t="s">
        <v>142</v>
      </c>
      <c r="E4" s="142" t="s">
        <v>143</v>
      </c>
      <c r="F4" s="143" t="s">
        <v>51</v>
      </c>
      <c r="G4" s="144" t="s">
        <v>53</v>
      </c>
      <c r="H4" s="141" t="s">
        <v>144</v>
      </c>
      <c r="I4" s="141" t="s">
        <v>144</v>
      </c>
      <c r="J4" s="141" t="s">
        <v>147</v>
      </c>
      <c r="K4" s="141" t="s">
        <v>147</v>
      </c>
      <c r="L4" s="171">
        <v>3300</v>
      </c>
      <c r="M4" s="171">
        <v>0.16</v>
      </c>
      <c r="N4" s="171">
        <f t="shared" si="0"/>
        <v>528</v>
      </c>
      <c r="O4" s="171">
        <v>0.08</v>
      </c>
      <c r="P4" s="171">
        <f t="shared" si="1"/>
        <v>264</v>
      </c>
      <c r="Q4" s="171">
        <v>3300</v>
      </c>
      <c r="R4" s="171">
        <v>0.08</v>
      </c>
      <c r="S4" s="171">
        <f t="shared" si="2"/>
        <v>264</v>
      </c>
      <c r="T4" s="171">
        <v>0.02</v>
      </c>
      <c r="U4" s="171">
        <f t="shared" si="3"/>
        <v>66</v>
      </c>
      <c r="V4" s="171">
        <v>3300</v>
      </c>
      <c r="W4" s="171">
        <v>0.007</v>
      </c>
      <c r="X4" s="171">
        <f t="shared" si="4"/>
        <v>23.1</v>
      </c>
      <c r="Y4" s="171">
        <v>0.003</v>
      </c>
      <c r="Z4" s="171">
        <f t="shared" si="5"/>
        <v>9.9</v>
      </c>
      <c r="AA4" s="171"/>
      <c r="AB4" s="171"/>
      <c r="AC4" s="171"/>
      <c r="AD4" s="171">
        <v>3300</v>
      </c>
      <c r="AE4" s="171">
        <v>0.002</v>
      </c>
      <c r="AF4" s="171">
        <f t="shared" si="6"/>
        <v>6.6</v>
      </c>
      <c r="AG4" s="171">
        <v>3000</v>
      </c>
      <c r="AH4" s="171">
        <v>0.1</v>
      </c>
      <c r="AI4" s="171">
        <f>ROUND(AG4*AH4,2)</f>
        <v>300</v>
      </c>
      <c r="AJ4" s="171">
        <v>0.06</v>
      </c>
      <c r="AK4" s="171">
        <f>ROUND(AG4*AJ4,2)</f>
        <v>180</v>
      </c>
      <c r="AL4" s="204"/>
      <c r="AM4" s="171"/>
      <c r="AN4" s="171"/>
      <c r="AO4" s="171"/>
      <c r="AP4" s="142" t="s">
        <v>146</v>
      </c>
      <c r="AQ4" s="209">
        <v>5</v>
      </c>
      <c r="AR4" s="171"/>
      <c r="AS4" s="210">
        <f t="shared" si="7"/>
        <v>826.7</v>
      </c>
      <c r="AT4" s="210">
        <f t="shared" si="8"/>
        <v>339.9</v>
      </c>
      <c r="AU4" s="210">
        <f t="shared" si="9"/>
        <v>300</v>
      </c>
      <c r="AV4" s="210">
        <f t="shared" si="10"/>
        <v>180</v>
      </c>
      <c r="AW4" s="210">
        <f t="shared" si="11"/>
        <v>1646.6</v>
      </c>
      <c r="AX4" s="219">
        <f t="shared" si="12"/>
        <v>1166.6</v>
      </c>
      <c r="AY4" s="219"/>
      <c r="AZ4" s="219">
        <f t="shared" si="13"/>
        <v>480</v>
      </c>
      <c r="BA4" s="219"/>
      <c r="BB4" s="220">
        <v>80</v>
      </c>
      <c r="BC4" s="219">
        <f t="shared" si="14"/>
        <v>1726.6</v>
      </c>
      <c r="BD4" s="221"/>
      <c r="BE4" s="238"/>
      <c r="BF4" s="239"/>
      <c r="BG4" s="239"/>
      <c r="BH4" s="240" t="s">
        <v>146</v>
      </c>
    </row>
    <row r="5" s="161" customFormat="1" ht="18" customHeight="1" spans="1:60">
      <c r="A5" s="171"/>
      <c r="B5" s="142" t="s">
        <v>140</v>
      </c>
      <c r="C5" s="131" t="s">
        <v>141</v>
      </c>
      <c r="D5" s="141" t="s">
        <v>142</v>
      </c>
      <c r="E5" s="142" t="s">
        <v>143</v>
      </c>
      <c r="F5" s="143" t="s">
        <v>51</v>
      </c>
      <c r="G5" s="144" t="s">
        <v>53</v>
      </c>
      <c r="H5" s="141" t="s">
        <v>144</v>
      </c>
      <c r="I5" s="141" t="s">
        <v>144</v>
      </c>
      <c r="J5" s="141" t="s">
        <v>148</v>
      </c>
      <c r="K5" s="141" t="s">
        <v>148</v>
      </c>
      <c r="L5" s="171">
        <v>3300</v>
      </c>
      <c r="M5" s="171">
        <v>0.16</v>
      </c>
      <c r="N5" s="171">
        <f t="shared" si="0"/>
        <v>528</v>
      </c>
      <c r="O5" s="171">
        <v>0.08</v>
      </c>
      <c r="P5" s="171">
        <f t="shared" si="1"/>
        <v>264</v>
      </c>
      <c r="Q5" s="171">
        <v>3300</v>
      </c>
      <c r="R5" s="171">
        <v>0.08</v>
      </c>
      <c r="S5" s="171">
        <f t="shared" si="2"/>
        <v>264</v>
      </c>
      <c r="T5" s="171">
        <v>0.02</v>
      </c>
      <c r="U5" s="171">
        <f t="shared" si="3"/>
        <v>66</v>
      </c>
      <c r="V5" s="171">
        <v>3300</v>
      </c>
      <c r="W5" s="171">
        <v>0.007</v>
      </c>
      <c r="X5" s="171">
        <f t="shared" si="4"/>
        <v>23.1</v>
      </c>
      <c r="Y5" s="171">
        <v>0.003</v>
      </c>
      <c r="Z5" s="171">
        <f t="shared" si="5"/>
        <v>9.9</v>
      </c>
      <c r="AA5" s="171"/>
      <c r="AB5" s="171"/>
      <c r="AC5" s="171"/>
      <c r="AD5" s="171">
        <v>3300</v>
      </c>
      <c r="AE5" s="171">
        <v>0.002</v>
      </c>
      <c r="AF5" s="171">
        <f t="shared" si="6"/>
        <v>6.6</v>
      </c>
      <c r="AG5" s="171">
        <v>3000</v>
      </c>
      <c r="AH5" s="171">
        <v>0.1</v>
      </c>
      <c r="AI5" s="171">
        <f>ROUND(AG5*AH5,2)</f>
        <v>300</v>
      </c>
      <c r="AJ5" s="171">
        <v>0.06</v>
      </c>
      <c r="AK5" s="171">
        <f>ROUND(AG5*AJ5,2)</f>
        <v>180</v>
      </c>
      <c r="AL5" s="204"/>
      <c r="AM5" s="171"/>
      <c r="AN5" s="171"/>
      <c r="AO5" s="171"/>
      <c r="AP5" s="142" t="s">
        <v>146</v>
      </c>
      <c r="AQ5" s="209">
        <v>5</v>
      </c>
      <c r="AR5" s="171"/>
      <c r="AS5" s="210">
        <f t="shared" si="7"/>
        <v>826.7</v>
      </c>
      <c r="AT5" s="210">
        <f t="shared" si="8"/>
        <v>339.9</v>
      </c>
      <c r="AU5" s="210">
        <f t="shared" si="9"/>
        <v>300</v>
      </c>
      <c r="AV5" s="210">
        <f t="shared" si="10"/>
        <v>180</v>
      </c>
      <c r="AW5" s="210">
        <f t="shared" si="11"/>
        <v>1646.6</v>
      </c>
      <c r="AX5" s="219">
        <f t="shared" si="12"/>
        <v>1166.6</v>
      </c>
      <c r="AY5" s="219"/>
      <c r="AZ5" s="219">
        <f t="shared" si="13"/>
        <v>480</v>
      </c>
      <c r="BA5" s="219"/>
      <c r="BB5" s="220">
        <v>80</v>
      </c>
      <c r="BC5" s="219">
        <f t="shared" si="14"/>
        <v>1726.6</v>
      </c>
      <c r="BD5" s="221"/>
      <c r="BE5" s="238"/>
      <c r="BF5" s="239"/>
      <c r="BG5" s="239"/>
      <c r="BH5" s="240" t="s">
        <v>146</v>
      </c>
    </row>
    <row r="6" s="161" customFormat="1" ht="18" customHeight="1" spans="1:60">
      <c r="A6" s="171">
        <v>2</v>
      </c>
      <c r="B6" s="142" t="s">
        <v>140</v>
      </c>
      <c r="C6" s="131" t="s">
        <v>149</v>
      </c>
      <c r="D6" s="141" t="s">
        <v>142</v>
      </c>
      <c r="E6" s="142" t="s">
        <v>150</v>
      </c>
      <c r="F6" s="143" t="s">
        <v>57</v>
      </c>
      <c r="G6" s="366" t="s">
        <v>58</v>
      </c>
      <c r="H6" s="141" t="s">
        <v>144</v>
      </c>
      <c r="I6" s="141" t="s">
        <v>151</v>
      </c>
      <c r="J6" s="141" t="s">
        <v>145</v>
      </c>
      <c r="K6" s="141" t="s">
        <v>151</v>
      </c>
      <c r="L6" s="171">
        <v>3803</v>
      </c>
      <c r="M6" s="171">
        <v>0.14</v>
      </c>
      <c r="N6" s="171">
        <f t="shared" si="0"/>
        <v>532.42</v>
      </c>
      <c r="O6" s="171">
        <v>0.08</v>
      </c>
      <c r="P6" s="171">
        <f t="shared" si="1"/>
        <v>304.24</v>
      </c>
      <c r="Q6" s="171">
        <v>6175</v>
      </c>
      <c r="R6" s="171">
        <v>0.055</v>
      </c>
      <c r="S6" s="171">
        <f t="shared" si="2"/>
        <v>339.63</v>
      </c>
      <c r="T6" s="171">
        <v>0.02</v>
      </c>
      <c r="U6" s="171">
        <f t="shared" si="3"/>
        <v>123.5</v>
      </c>
      <c r="V6" s="171">
        <v>3803</v>
      </c>
      <c r="W6" s="171">
        <v>0.0032</v>
      </c>
      <c r="X6" s="171">
        <f t="shared" si="4"/>
        <v>12.17</v>
      </c>
      <c r="Y6" s="171">
        <v>0.002</v>
      </c>
      <c r="Z6" s="171">
        <f t="shared" si="5"/>
        <v>7.61</v>
      </c>
      <c r="AA6" s="171">
        <v>6175</v>
      </c>
      <c r="AB6" s="171">
        <v>0.0085</v>
      </c>
      <c r="AC6" s="171">
        <f t="shared" ref="AC6:AC8" si="15">ROUND(AA6*AB6,2)</f>
        <v>52.49</v>
      </c>
      <c r="AD6" s="171">
        <v>3803</v>
      </c>
      <c r="AE6" s="171">
        <v>0.0016</v>
      </c>
      <c r="AF6" s="171">
        <f t="shared" si="6"/>
        <v>6.08</v>
      </c>
      <c r="AG6" s="171"/>
      <c r="AH6" s="171"/>
      <c r="AI6" s="171"/>
      <c r="AJ6" s="171"/>
      <c r="AK6" s="171"/>
      <c r="AL6" s="204"/>
      <c r="AM6" s="171"/>
      <c r="AN6" s="171"/>
      <c r="AO6" s="171"/>
      <c r="AP6" s="142"/>
      <c r="AQ6" s="209">
        <v>26.76</v>
      </c>
      <c r="AR6" s="171"/>
      <c r="AS6" s="210">
        <f t="shared" si="7"/>
        <v>969.55</v>
      </c>
      <c r="AT6" s="210">
        <f t="shared" si="8"/>
        <v>435.35</v>
      </c>
      <c r="AU6" s="210">
        <f t="shared" si="9"/>
        <v>0</v>
      </c>
      <c r="AV6" s="210">
        <f t="shared" si="10"/>
        <v>0</v>
      </c>
      <c r="AW6" s="210">
        <f t="shared" si="11"/>
        <v>1404.9</v>
      </c>
      <c r="AX6" s="219">
        <f t="shared" si="12"/>
        <v>1404.9</v>
      </c>
      <c r="AY6" s="219"/>
      <c r="AZ6" s="219">
        <f t="shared" si="13"/>
        <v>0</v>
      </c>
      <c r="BA6" s="219"/>
      <c r="BB6" s="220">
        <v>80</v>
      </c>
      <c r="BC6" s="219">
        <f t="shared" si="14"/>
        <v>1484.9</v>
      </c>
      <c r="BD6" s="221"/>
      <c r="BE6" s="241"/>
      <c r="BF6" s="241"/>
      <c r="BG6" s="241"/>
      <c r="BH6" s="241"/>
    </row>
    <row r="7" s="161" customFormat="1" ht="18" customHeight="1" spans="1:60">
      <c r="A7" s="171"/>
      <c r="B7" s="142" t="s">
        <v>140</v>
      </c>
      <c r="C7" s="131" t="s">
        <v>149</v>
      </c>
      <c r="D7" s="141" t="s">
        <v>142</v>
      </c>
      <c r="E7" s="142" t="s">
        <v>150</v>
      </c>
      <c r="F7" s="143" t="s">
        <v>57</v>
      </c>
      <c r="G7" s="366" t="s">
        <v>58</v>
      </c>
      <c r="H7" s="141" t="s">
        <v>144</v>
      </c>
      <c r="I7" s="141" t="s">
        <v>151</v>
      </c>
      <c r="J7" s="141" t="s">
        <v>147</v>
      </c>
      <c r="K7" s="141" t="s">
        <v>151</v>
      </c>
      <c r="L7" s="171">
        <v>3803</v>
      </c>
      <c r="M7" s="171">
        <v>0.14</v>
      </c>
      <c r="N7" s="171">
        <f t="shared" si="0"/>
        <v>532.42</v>
      </c>
      <c r="O7" s="171">
        <v>0.08</v>
      </c>
      <c r="P7" s="171">
        <f t="shared" si="1"/>
        <v>304.24</v>
      </c>
      <c r="Q7" s="171">
        <v>6175</v>
      </c>
      <c r="R7" s="171">
        <v>0.055</v>
      </c>
      <c r="S7" s="171">
        <f t="shared" si="2"/>
        <v>339.63</v>
      </c>
      <c r="T7" s="171">
        <v>0.02</v>
      </c>
      <c r="U7" s="171">
        <f t="shared" si="3"/>
        <v>123.5</v>
      </c>
      <c r="V7" s="171">
        <v>3803</v>
      </c>
      <c r="W7" s="171">
        <v>0.0032</v>
      </c>
      <c r="X7" s="171">
        <f t="shared" si="4"/>
        <v>12.17</v>
      </c>
      <c r="Y7" s="171">
        <v>0.002</v>
      </c>
      <c r="Z7" s="171">
        <f t="shared" si="5"/>
        <v>7.61</v>
      </c>
      <c r="AA7" s="171">
        <v>6175</v>
      </c>
      <c r="AB7" s="171">
        <v>0.0085</v>
      </c>
      <c r="AC7" s="171">
        <f t="shared" si="15"/>
        <v>52.49</v>
      </c>
      <c r="AD7" s="171">
        <v>3803</v>
      </c>
      <c r="AE7" s="171">
        <v>0.0016</v>
      </c>
      <c r="AF7" s="171">
        <f t="shared" si="6"/>
        <v>6.08</v>
      </c>
      <c r="AG7" s="171"/>
      <c r="AH7" s="171"/>
      <c r="AI7" s="171"/>
      <c r="AJ7" s="171"/>
      <c r="AK7" s="171"/>
      <c r="AL7" s="204"/>
      <c r="AM7" s="171"/>
      <c r="AN7" s="171"/>
      <c r="AO7" s="171"/>
      <c r="AP7" s="142"/>
      <c r="AQ7" s="209">
        <v>26.76</v>
      </c>
      <c r="AR7" s="171"/>
      <c r="AS7" s="210">
        <f t="shared" si="7"/>
        <v>969.55</v>
      </c>
      <c r="AT7" s="210">
        <f t="shared" si="8"/>
        <v>435.35</v>
      </c>
      <c r="AU7" s="210">
        <f t="shared" si="9"/>
        <v>0</v>
      </c>
      <c r="AV7" s="210">
        <f t="shared" si="10"/>
        <v>0</v>
      </c>
      <c r="AW7" s="210">
        <f t="shared" si="11"/>
        <v>1404.9</v>
      </c>
      <c r="AX7" s="219">
        <f t="shared" si="12"/>
        <v>1404.9</v>
      </c>
      <c r="AY7" s="219"/>
      <c r="AZ7" s="219">
        <f t="shared" si="13"/>
        <v>0</v>
      </c>
      <c r="BA7" s="219"/>
      <c r="BB7" s="220">
        <v>80</v>
      </c>
      <c r="BC7" s="219">
        <f t="shared" si="14"/>
        <v>1484.9</v>
      </c>
      <c r="BD7" s="221"/>
      <c r="BE7" s="241"/>
      <c r="BF7" s="241"/>
      <c r="BG7" s="241"/>
      <c r="BH7" s="241"/>
    </row>
    <row r="8" s="161" customFormat="1" ht="18" customHeight="1" spans="1:60">
      <c r="A8" s="171"/>
      <c r="B8" s="142" t="s">
        <v>140</v>
      </c>
      <c r="C8" s="131" t="s">
        <v>149</v>
      </c>
      <c r="D8" s="141" t="s">
        <v>142</v>
      </c>
      <c r="E8" s="142" t="s">
        <v>150</v>
      </c>
      <c r="F8" s="143" t="s">
        <v>57</v>
      </c>
      <c r="G8" s="366" t="s">
        <v>58</v>
      </c>
      <c r="H8" s="141" t="s">
        <v>144</v>
      </c>
      <c r="I8" s="141" t="s">
        <v>151</v>
      </c>
      <c r="J8" s="141" t="s">
        <v>148</v>
      </c>
      <c r="K8" s="141" t="s">
        <v>151</v>
      </c>
      <c r="L8" s="171">
        <v>3803</v>
      </c>
      <c r="M8" s="171">
        <v>0.14</v>
      </c>
      <c r="N8" s="171">
        <f t="shared" si="0"/>
        <v>532.42</v>
      </c>
      <c r="O8" s="171">
        <v>0.08</v>
      </c>
      <c r="P8" s="171">
        <f t="shared" si="1"/>
        <v>304.24</v>
      </c>
      <c r="Q8" s="171">
        <v>6175</v>
      </c>
      <c r="R8" s="171">
        <v>0.055</v>
      </c>
      <c r="S8" s="171">
        <f t="shared" si="2"/>
        <v>339.63</v>
      </c>
      <c r="T8" s="171">
        <v>0.02</v>
      </c>
      <c r="U8" s="171">
        <f t="shared" si="3"/>
        <v>123.5</v>
      </c>
      <c r="V8" s="171">
        <v>3803</v>
      </c>
      <c r="W8" s="171">
        <v>0.0032</v>
      </c>
      <c r="X8" s="171">
        <f t="shared" si="4"/>
        <v>12.17</v>
      </c>
      <c r="Y8" s="171">
        <v>0.002</v>
      </c>
      <c r="Z8" s="171">
        <f t="shared" si="5"/>
        <v>7.61</v>
      </c>
      <c r="AA8" s="171">
        <v>6175</v>
      </c>
      <c r="AB8" s="171">
        <v>0.0085</v>
      </c>
      <c r="AC8" s="171">
        <f t="shared" si="15"/>
        <v>52.49</v>
      </c>
      <c r="AD8" s="171">
        <v>3803</v>
      </c>
      <c r="AE8" s="171">
        <v>0.0016</v>
      </c>
      <c r="AF8" s="171">
        <f t="shared" si="6"/>
        <v>6.08</v>
      </c>
      <c r="AG8" s="171"/>
      <c r="AH8" s="171"/>
      <c r="AI8" s="171"/>
      <c r="AJ8" s="171"/>
      <c r="AK8" s="171"/>
      <c r="AL8" s="204"/>
      <c r="AM8" s="171"/>
      <c r="AN8" s="171"/>
      <c r="AO8" s="171"/>
      <c r="AP8" s="142"/>
      <c r="AQ8" s="209">
        <v>26.76</v>
      </c>
      <c r="AR8" s="171"/>
      <c r="AS8" s="210">
        <f t="shared" si="7"/>
        <v>969.55</v>
      </c>
      <c r="AT8" s="210">
        <f t="shared" si="8"/>
        <v>435.35</v>
      </c>
      <c r="AU8" s="210">
        <f t="shared" si="9"/>
        <v>0</v>
      </c>
      <c r="AV8" s="210">
        <f t="shared" si="10"/>
        <v>0</v>
      </c>
      <c r="AW8" s="210">
        <f t="shared" si="11"/>
        <v>1404.9</v>
      </c>
      <c r="AX8" s="219">
        <f t="shared" si="12"/>
        <v>1404.9</v>
      </c>
      <c r="AY8" s="219"/>
      <c r="AZ8" s="219">
        <f t="shared" si="13"/>
        <v>0</v>
      </c>
      <c r="BA8" s="219"/>
      <c r="BB8" s="220">
        <v>80</v>
      </c>
      <c r="BC8" s="219">
        <f t="shared" si="14"/>
        <v>1484.9</v>
      </c>
      <c r="BD8" s="221"/>
      <c r="BE8" s="241"/>
      <c r="BF8" s="241"/>
      <c r="BG8" s="241"/>
      <c r="BH8" s="241"/>
    </row>
    <row r="9" s="250" customFormat="1" ht="18" customHeight="1" spans="1:60">
      <c r="A9" s="251" t="s">
        <v>152</v>
      </c>
      <c r="B9" s="252" t="s">
        <v>140</v>
      </c>
      <c r="C9" s="126" t="s">
        <v>149</v>
      </c>
      <c r="D9" s="253" t="s">
        <v>142</v>
      </c>
      <c r="E9" s="252" t="s">
        <v>150</v>
      </c>
      <c r="F9" s="254" t="s">
        <v>57</v>
      </c>
      <c r="G9" s="367" t="s">
        <v>58</v>
      </c>
      <c r="H9" s="253" t="s">
        <v>144</v>
      </c>
      <c r="I9" s="253" t="s">
        <v>151</v>
      </c>
      <c r="J9" s="253" t="s">
        <v>153</v>
      </c>
      <c r="K9" s="253" t="s">
        <v>151</v>
      </c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6">
        <f t="shared" ref="AD9:AD11" si="16">3803-3000</f>
        <v>803</v>
      </c>
      <c r="AE9" s="256">
        <v>0.0016</v>
      </c>
      <c r="AF9" s="256">
        <f t="shared" si="6"/>
        <v>1.28</v>
      </c>
      <c r="AG9" s="251"/>
      <c r="AH9" s="251"/>
      <c r="AI9" s="251"/>
      <c r="AJ9" s="251"/>
      <c r="AK9" s="251"/>
      <c r="AL9" s="257"/>
      <c r="AM9" s="251"/>
      <c r="AN9" s="251"/>
      <c r="AO9" s="251"/>
      <c r="AP9" s="252"/>
      <c r="AQ9" s="258"/>
      <c r="AR9" s="251"/>
      <c r="AS9" s="259">
        <f t="shared" si="7"/>
        <v>1.28</v>
      </c>
      <c r="AT9" s="259">
        <f t="shared" si="8"/>
        <v>0</v>
      </c>
      <c r="AU9" s="259">
        <f t="shared" si="9"/>
        <v>0</v>
      </c>
      <c r="AV9" s="259">
        <f t="shared" si="10"/>
        <v>0</v>
      </c>
      <c r="AW9" s="259">
        <f t="shared" si="11"/>
        <v>1.28</v>
      </c>
      <c r="AX9" s="225">
        <f t="shared" si="12"/>
        <v>1.28</v>
      </c>
      <c r="AY9" s="225"/>
      <c r="AZ9" s="225"/>
      <c r="BA9" s="225"/>
      <c r="BB9" s="224"/>
      <c r="BC9" s="225">
        <f t="shared" si="14"/>
        <v>1.28</v>
      </c>
      <c r="BD9" s="260" t="s">
        <v>154</v>
      </c>
      <c r="BE9" s="261"/>
      <c r="BF9" s="261"/>
      <c r="BG9" s="261"/>
      <c r="BH9" s="261"/>
    </row>
    <row r="10" s="250" customFormat="1" ht="18" customHeight="1" spans="1:60">
      <c r="A10" s="251" t="s">
        <v>152</v>
      </c>
      <c r="B10" s="252" t="s">
        <v>140</v>
      </c>
      <c r="C10" s="126" t="s">
        <v>149</v>
      </c>
      <c r="D10" s="253" t="s">
        <v>142</v>
      </c>
      <c r="E10" s="252" t="s">
        <v>150</v>
      </c>
      <c r="F10" s="254" t="s">
        <v>57</v>
      </c>
      <c r="G10" s="367" t="s">
        <v>58</v>
      </c>
      <c r="H10" s="253" t="s">
        <v>144</v>
      </c>
      <c r="I10" s="253" t="s">
        <v>151</v>
      </c>
      <c r="J10" s="253" t="s">
        <v>155</v>
      </c>
      <c r="K10" s="253" t="s">
        <v>151</v>
      </c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6">
        <f t="shared" si="16"/>
        <v>803</v>
      </c>
      <c r="AE10" s="256">
        <v>0.0016</v>
      </c>
      <c r="AF10" s="256">
        <f t="shared" si="6"/>
        <v>1.28</v>
      </c>
      <c r="AG10" s="251"/>
      <c r="AH10" s="251"/>
      <c r="AI10" s="251"/>
      <c r="AJ10" s="251"/>
      <c r="AK10" s="251"/>
      <c r="AL10" s="257"/>
      <c r="AM10" s="251"/>
      <c r="AN10" s="251"/>
      <c r="AO10" s="251"/>
      <c r="AP10" s="252"/>
      <c r="AQ10" s="258"/>
      <c r="AR10" s="251"/>
      <c r="AS10" s="259">
        <f t="shared" si="7"/>
        <v>1.28</v>
      </c>
      <c r="AT10" s="259">
        <f t="shared" si="8"/>
        <v>0</v>
      </c>
      <c r="AU10" s="259">
        <f t="shared" si="9"/>
        <v>0</v>
      </c>
      <c r="AV10" s="259">
        <f t="shared" si="10"/>
        <v>0</v>
      </c>
      <c r="AW10" s="259">
        <f t="shared" si="11"/>
        <v>1.28</v>
      </c>
      <c r="AX10" s="225">
        <f t="shared" si="12"/>
        <v>1.28</v>
      </c>
      <c r="AY10" s="225"/>
      <c r="AZ10" s="225"/>
      <c r="BA10" s="225"/>
      <c r="BB10" s="224"/>
      <c r="BC10" s="225">
        <f t="shared" si="14"/>
        <v>1.28</v>
      </c>
      <c r="BD10" s="260" t="s">
        <v>154</v>
      </c>
      <c r="BE10" s="261"/>
      <c r="BF10" s="261"/>
      <c r="BG10" s="261"/>
      <c r="BH10" s="261"/>
    </row>
    <row r="11" s="250" customFormat="1" ht="18" customHeight="1" spans="1:60">
      <c r="A11" s="251" t="s">
        <v>152</v>
      </c>
      <c r="B11" s="252" t="s">
        <v>140</v>
      </c>
      <c r="C11" s="126" t="s">
        <v>149</v>
      </c>
      <c r="D11" s="253" t="s">
        <v>142</v>
      </c>
      <c r="E11" s="252" t="s">
        <v>150</v>
      </c>
      <c r="F11" s="254" t="s">
        <v>57</v>
      </c>
      <c r="G11" s="367" t="s">
        <v>58</v>
      </c>
      <c r="H11" s="253" t="s">
        <v>144</v>
      </c>
      <c r="I11" s="253" t="s">
        <v>151</v>
      </c>
      <c r="J11" s="253" t="s">
        <v>156</v>
      </c>
      <c r="K11" s="253" t="s">
        <v>151</v>
      </c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6">
        <f t="shared" si="16"/>
        <v>803</v>
      </c>
      <c r="AE11" s="256">
        <v>0.0016</v>
      </c>
      <c r="AF11" s="256">
        <f t="shared" si="6"/>
        <v>1.28</v>
      </c>
      <c r="AG11" s="251"/>
      <c r="AH11" s="251"/>
      <c r="AI11" s="251"/>
      <c r="AJ11" s="251"/>
      <c r="AK11" s="251"/>
      <c r="AL11" s="257"/>
      <c r="AM11" s="251"/>
      <c r="AN11" s="251"/>
      <c r="AO11" s="251"/>
      <c r="AP11" s="252"/>
      <c r="AQ11" s="258"/>
      <c r="AR11" s="251"/>
      <c r="AS11" s="259">
        <f t="shared" si="7"/>
        <v>1.28</v>
      </c>
      <c r="AT11" s="259">
        <f t="shared" si="8"/>
        <v>0</v>
      </c>
      <c r="AU11" s="259">
        <f t="shared" si="9"/>
        <v>0</v>
      </c>
      <c r="AV11" s="259">
        <f t="shared" si="10"/>
        <v>0</v>
      </c>
      <c r="AW11" s="259">
        <f t="shared" si="11"/>
        <v>1.28</v>
      </c>
      <c r="AX11" s="225">
        <f t="shared" si="12"/>
        <v>1.28</v>
      </c>
      <c r="AY11" s="225"/>
      <c r="AZ11" s="225"/>
      <c r="BA11" s="225"/>
      <c r="BB11" s="224"/>
      <c r="BC11" s="225">
        <f t="shared" si="14"/>
        <v>1.28</v>
      </c>
      <c r="BD11" s="260" t="s">
        <v>154</v>
      </c>
      <c r="BE11" s="261"/>
      <c r="BF11" s="261"/>
      <c r="BG11" s="261"/>
      <c r="BH11" s="261"/>
    </row>
    <row r="12" s="161" customFormat="1" ht="18" customHeight="1" spans="1:60">
      <c r="A12" s="171">
        <v>3</v>
      </c>
      <c r="B12" s="142" t="s">
        <v>140</v>
      </c>
      <c r="C12" s="131" t="s">
        <v>157</v>
      </c>
      <c r="D12" s="141" t="s">
        <v>142</v>
      </c>
      <c r="E12" s="142" t="s">
        <v>150</v>
      </c>
      <c r="F12" s="143" t="s">
        <v>158</v>
      </c>
      <c r="G12" s="144" t="s">
        <v>159</v>
      </c>
      <c r="H12" s="141" t="s">
        <v>160</v>
      </c>
      <c r="I12" s="141" t="s">
        <v>160</v>
      </c>
      <c r="J12" s="141" t="s">
        <v>147</v>
      </c>
      <c r="K12" s="141" t="s">
        <v>147</v>
      </c>
      <c r="L12" s="171">
        <v>3053.05</v>
      </c>
      <c r="M12" s="171">
        <v>0.16</v>
      </c>
      <c r="N12" s="171">
        <f t="shared" ref="N12:N15" si="17">ROUND(L12*M12,2)</f>
        <v>488.49</v>
      </c>
      <c r="O12" s="171">
        <v>0.08</v>
      </c>
      <c r="P12" s="171">
        <f t="shared" ref="P12:P15" si="18">ROUND(L12*O12,2)</f>
        <v>244.24</v>
      </c>
      <c r="Q12" s="171">
        <v>3053.05</v>
      </c>
      <c r="R12" s="171">
        <v>0.06</v>
      </c>
      <c r="S12" s="171">
        <f t="shared" ref="S12:S15" si="19">ROUND(Q12*R12,2)</f>
        <v>183.18</v>
      </c>
      <c r="T12" s="171">
        <v>0.02</v>
      </c>
      <c r="U12" s="171">
        <f t="shared" ref="U12:U15" si="20">ROUND(Q12*T12,2)</f>
        <v>61.06</v>
      </c>
      <c r="V12" s="171">
        <v>3053.05</v>
      </c>
      <c r="W12" s="171">
        <v>0.007</v>
      </c>
      <c r="X12" s="171">
        <f t="shared" ref="X12:X15" si="21">ROUND(V12*W12,2)</f>
        <v>21.37</v>
      </c>
      <c r="Y12" s="171">
        <v>0.003</v>
      </c>
      <c r="Z12" s="171">
        <f t="shared" ref="Z12:Z15" si="22">ROUND(V12*Y12,2)</f>
        <v>9.16</v>
      </c>
      <c r="AA12" s="171">
        <v>3053.05</v>
      </c>
      <c r="AB12" s="171">
        <v>0.007</v>
      </c>
      <c r="AC12" s="171">
        <f t="shared" ref="AC12:AC15" si="23">ROUND(AA12*AB12,2)</f>
        <v>21.37</v>
      </c>
      <c r="AD12" s="171">
        <v>3053.05</v>
      </c>
      <c r="AE12" s="171">
        <v>0.002</v>
      </c>
      <c r="AF12" s="171">
        <f t="shared" si="6"/>
        <v>6.11</v>
      </c>
      <c r="AG12" s="171" t="s">
        <v>161</v>
      </c>
      <c r="AH12" s="171">
        <v>0.05</v>
      </c>
      <c r="AI12" s="171">
        <f t="shared" ref="AI12:AI15" si="24">ROUND(AG12*AH12,2)</f>
        <v>79</v>
      </c>
      <c r="AJ12" s="171">
        <v>0.05</v>
      </c>
      <c r="AK12" s="171">
        <f t="shared" ref="AK12:AK15" si="25">ROUND(AG12*AJ12,2)</f>
        <v>79</v>
      </c>
      <c r="AL12" s="204"/>
      <c r="AM12" s="171"/>
      <c r="AN12" s="171"/>
      <c r="AO12" s="171"/>
      <c r="AP12" s="142"/>
      <c r="AQ12" s="209"/>
      <c r="AR12" s="171">
        <v>96</v>
      </c>
      <c r="AS12" s="210">
        <f t="shared" si="7"/>
        <v>720.52</v>
      </c>
      <c r="AT12" s="210">
        <f t="shared" si="8"/>
        <v>314.46</v>
      </c>
      <c r="AU12" s="210">
        <f t="shared" si="9"/>
        <v>79</v>
      </c>
      <c r="AV12" s="210">
        <f t="shared" si="10"/>
        <v>79</v>
      </c>
      <c r="AW12" s="210">
        <f t="shared" si="11"/>
        <v>1192.98</v>
      </c>
      <c r="AX12" s="219">
        <f t="shared" si="12"/>
        <v>1034.98</v>
      </c>
      <c r="AY12" s="219"/>
      <c r="AZ12" s="219">
        <f t="shared" ref="AZ12:AZ15" si="26">AU12+AV12</f>
        <v>158</v>
      </c>
      <c r="BA12" s="219"/>
      <c r="BB12" s="220">
        <v>80</v>
      </c>
      <c r="BC12" s="219">
        <f t="shared" si="14"/>
        <v>1272.98</v>
      </c>
      <c r="BD12" s="221"/>
      <c r="BE12" s="241"/>
      <c r="BF12" s="241"/>
      <c r="BG12" s="241"/>
      <c r="BH12" s="241"/>
    </row>
    <row r="13" s="161" customFormat="1" ht="18" customHeight="1" spans="1:60">
      <c r="A13" s="171"/>
      <c r="B13" s="142" t="s">
        <v>140</v>
      </c>
      <c r="C13" s="131" t="s">
        <v>157</v>
      </c>
      <c r="D13" s="141" t="s">
        <v>142</v>
      </c>
      <c r="E13" s="142" t="s">
        <v>150</v>
      </c>
      <c r="F13" s="143" t="s">
        <v>158</v>
      </c>
      <c r="G13" s="144" t="s">
        <v>159</v>
      </c>
      <c r="H13" s="141" t="s">
        <v>160</v>
      </c>
      <c r="I13" s="141" t="s">
        <v>160</v>
      </c>
      <c r="J13" s="141" t="s">
        <v>148</v>
      </c>
      <c r="K13" s="141" t="s">
        <v>148</v>
      </c>
      <c r="L13" s="171">
        <v>3053.05</v>
      </c>
      <c r="M13" s="171">
        <v>0.16</v>
      </c>
      <c r="N13" s="171">
        <f t="shared" si="17"/>
        <v>488.49</v>
      </c>
      <c r="O13" s="171">
        <v>0.08</v>
      </c>
      <c r="P13" s="171">
        <f t="shared" si="18"/>
        <v>244.24</v>
      </c>
      <c r="Q13" s="171">
        <v>3053.05</v>
      </c>
      <c r="R13" s="171">
        <v>0.06</v>
      </c>
      <c r="S13" s="171">
        <f t="shared" si="19"/>
        <v>183.18</v>
      </c>
      <c r="T13" s="171">
        <v>0.02</v>
      </c>
      <c r="U13" s="171">
        <f t="shared" si="20"/>
        <v>61.06</v>
      </c>
      <c r="V13" s="171">
        <v>3053.05</v>
      </c>
      <c r="W13" s="171">
        <v>0.007</v>
      </c>
      <c r="X13" s="171">
        <f t="shared" si="21"/>
        <v>21.37</v>
      </c>
      <c r="Y13" s="171">
        <v>0.003</v>
      </c>
      <c r="Z13" s="171">
        <f t="shared" si="22"/>
        <v>9.16</v>
      </c>
      <c r="AA13" s="171">
        <v>3053.05</v>
      </c>
      <c r="AB13" s="171">
        <v>0.007</v>
      </c>
      <c r="AC13" s="171">
        <f t="shared" si="23"/>
        <v>21.37</v>
      </c>
      <c r="AD13" s="171">
        <v>3053.05</v>
      </c>
      <c r="AE13" s="171">
        <v>0.002</v>
      </c>
      <c r="AF13" s="171">
        <f t="shared" si="6"/>
        <v>6.11</v>
      </c>
      <c r="AG13" s="171" t="s">
        <v>161</v>
      </c>
      <c r="AH13" s="171">
        <v>0.05</v>
      </c>
      <c r="AI13" s="171">
        <f t="shared" si="24"/>
        <v>79</v>
      </c>
      <c r="AJ13" s="171">
        <v>0.05</v>
      </c>
      <c r="AK13" s="171">
        <f t="shared" si="25"/>
        <v>79</v>
      </c>
      <c r="AL13" s="204"/>
      <c r="AM13" s="171"/>
      <c r="AN13" s="171"/>
      <c r="AO13" s="171"/>
      <c r="AP13" s="142"/>
      <c r="AQ13" s="209"/>
      <c r="AR13" s="209"/>
      <c r="AS13" s="210">
        <f t="shared" si="7"/>
        <v>720.52</v>
      </c>
      <c r="AT13" s="210">
        <f t="shared" si="8"/>
        <v>314.46</v>
      </c>
      <c r="AU13" s="210">
        <f t="shared" si="9"/>
        <v>79</v>
      </c>
      <c r="AV13" s="210">
        <f t="shared" si="10"/>
        <v>79</v>
      </c>
      <c r="AW13" s="210">
        <f t="shared" si="11"/>
        <v>1192.98</v>
      </c>
      <c r="AX13" s="219">
        <f t="shared" si="12"/>
        <v>1034.98</v>
      </c>
      <c r="AY13" s="219"/>
      <c r="AZ13" s="219">
        <f t="shared" si="26"/>
        <v>158</v>
      </c>
      <c r="BA13" s="219"/>
      <c r="BB13" s="220">
        <v>80</v>
      </c>
      <c r="BC13" s="219">
        <f t="shared" si="14"/>
        <v>1272.98</v>
      </c>
      <c r="BD13" s="221"/>
      <c r="BE13" s="241"/>
      <c r="BF13" s="241"/>
      <c r="BG13" s="241"/>
      <c r="BH13" s="241"/>
    </row>
    <row r="14" s="161" customFormat="1" ht="18" customHeight="1" spans="1:60">
      <c r="A14" s="171"/>
      <c r="B14" s="142" t="s">
        <v>140</v>
      </c>
      <c r="C14" s="131" t="s">
        <v>157</v>
      </c>
      <c r="D14" s="141" t="s">
        <v>142</v>
      </c>
      <c r="E14" s="142" t="s">
        <v>150</v>
      </c>
      <c r="F14" s="143" t="s">
        <v>158</v>
      </c>
      <c r="G14" s="144" t="s">
        <v>159</v>
      </c>
      <c r="H14" s="141" t="s">
        <v>160</v>
      </c>
      <c r="I14" s="141" t="s">
        <v>160</v>
      </c>
      <c r="J14" s="141" t="s">
        <v>162</v>
      </c>
      <c r="K14" s="141" t="s">
        <v>162</v>
      </c>
      <c r="L14" s="171">
        <v>3053.05</v>
      </c>
      <c r="M14" s="171">
        <v>0.16</v>
      </c>
      <c r="N14" s="171">
        <f t="shared" si="17"/>
        <v>488.49</v>
      </c>
      <c r="O14" s="171">
        <v>0.08</v>
      </c>
      <c r="P14" s="171">
        <f t="shared" si="18"/>
        <v>244.24</v>
      </c>
      <c r="Q14" s="171">
        <v>3053.05</v>
      </c>
      <c r="R14" s="171">
        <v>0.06</v>
      </c>
      <c r="S14" s="171">
        <f t="shared" si="19"/>
        <v>183.18</v>
      </c>
      <c r="T14" s="171">
        <v>0.02</v>
      </c>
      <c r="U14" s="171">
        <f t="shared" si="20"/>
        <v>61.06</v>
      </c>
      <c r="V14" s="171">
        <v>3053.05</v>
      </c>
      <c r="W14" s="171">
        <v>0.007</v>
      </c>
      <c r="X14" s="171">
        <f t="shared" si="21"/>
        <v>21.37</v>
      </c>
      <c r="Y14" s="171">
        <v>0.003</v>
      </c>
      <c r="Z14" s="171">
        <f t="shared" si="22"/>
        <v>9.16</v>
      </c>
      <c r="AA14" s="171">
        <v>3053.05</v>
      </c>
      <c r="AB14" s="171">
        <v>0.007</v>
      </c>
      <c r="AC14" s="171">
        <f t="shared" si="23"/>
        <v>21.37</v>
      </c>
      <c r="AD14" s="171">
        <v>3053.05</v>
      </c>
      <c r="AE14" s="171">
        <v>0.002</v>
      </c>
      <c r="AF14" s="171">
        <f t="shared" si="6"/>
        <v>6.11</v>
      </c>
      <c r="AG14" s="171" t="s">
        <v>161</v>
      </c>
      <c r="AH14" s="171">
        <v>0.05</v>
      </c>
      <c r="AI14" s="171">
        <f t="shared" si="24"/>
        <v>79</v>
      </c>
      <c r="AJ14" s="171">
        <v>0.05</v>
      </c>
      <c r="AK14" s="171">
        <f t="shared" si="25"/>
        <v>79</v>
      </c>
      <c r="AL14" s="204"/>
      <c r="AM14" s="171"/>
      <c r="AN14" s="171"/>
      <c r="AO14" s="171"/>
      <c r="AP14" s="142"/>
      <c r="AQ14" s="209"/>
      <c r="AR14" s="209"/>
      <c r="AS14" s="210">
        <f t="shared" si="7"/>
        <v>720.52</v>
      </c>
      <c r="AT14" s="210">
        <f t="shared" si="8"/>
        <v>314.46</v>
      </c>
      <c r="AU14" s="210">
        <f t="shared" si="9"/>
        <v>79</v>
      </c>
      <c r="AV14" s="210">
        <f t="shared" si="10"/>
        <v>79</v>
      </c>
      <c r="AW14" s="210">
        <f t="shared" si="11"/>
        <v>1192.98</v>
      </c>
      <c r="AX14" s="219">
        <f t="shared" si="12"/>
        <v>1034.98</v>
      </c>
      <c r="AY14" s="219"/>
      <c r="AZ14" s="219">
        <f t="shared" si="26"/>
        <v>158</v>
      </c>
      <c r="BA14" s="219"/>
      <c r="BB14" s="220">
        <v>80</v>
      </c>
      <c r="BC14" s="219">
        <f t="shared" si="14"/>
        <v>1272.98</v>
      </c>
      <c r="BD14" s="221"/>
      <c r="BE14" s="241"/>
      <c r="BF14" s="241"/>
      <c r="BG14" s="241"/>
      <c r="BH14" s="241"/>
    </row>
    <row r="15" s="250" customFormat="1" ht="18" customHeight="1" spans="1:60">
      <c r="A15" s="251" t="s">
        <v>152</v>
      </c>
      <c r="B15" s="252" t="s">
        <v>140</v>
      </c>
      <c r="C15" s="126" t="s">
        <v>157</v>
      </c>
      <c r="D15" s="253" t="s">
        <v>142</v>
      </c>
      <c r="E15" s="252" t="s">
        <v>150</v>
      </c>
      <c r="F15" s="254" t="s">
        <v>158</v>
      </c>
      <c r="G15" s="255" t="s">
        <v>159</v>
      </c>
      <c r="H15" s="253" t="s">
        <v>160</v>
      </c>
      <c r="I15" s="253" t="s">
        <v>160</v>
      </c>
      <c r="J15" s="253" t="s">
        <v>160</v>
      </c>
      <c r="K15" s="253" t="s">
        <v>160</v>
      </c>
      <c r="L15" s="251">
        <v>3053.05</v>
      </c>
      <c r="M15" s="251">
        <v>0.16</v>
      </c>
      <c r="N15" s="251">
        <f t="shared" si="17"/>
        <v>488.49</v>
      </c>
      <c r="O15" s="251">
        <v>0.08</v>
      </c>
      <c r="P15" s="251">
        <f t="shared" si="18"/>
        <v>244.24</v>
      </c>
      <c r="Q15" s="251">
        <v>3053.05</v>
      </c>
      <c r="R15" s="251">
        <v>0.06</v>
      </c>
      <c r="S15" s="251">
        <f t="shared" si="19"/>
        <v>183.18</v>
      </c>
      <c r="T15" s="251">
        <v>0.02</v>
      </c>
      <c r="U15" s="251">
        <f t="shared" si="20"/>
        <v>61.06</v>
      </c>
      <c r="V15" s="251">
        <v>3053.05</v>
      </c>
      <c r="W15" s="251">
        <v>0.007</v>
      </c>
      <c r="X15" s="251">
        <f t="shared" si="21"/>
        <v>21.37</v>
      </c>
      <c r="Y15" s="251">
        <v>0.003</v>
      </c>
      <c r="Z15" s="251">
        <f t="shared" si="22"/>
        <v>9.16</v>
      </c>
      <c r="AA15" s="251">
        <v>3053.05</v>
      </c>
      <c r="AB15" s="251">
        <v>0.007</v>
      </c>
      <c r="AC15" s="251">
        <f t="shared" si="23"/>
        <v>21.37</v>
      </c>
      <c r="AD15" s="251">
        <v>3053.05</v>
      </c>
      <c r="AE15" s="251">
        <v>0.002</v>
      </c>
      <c r="AF15" s="251">
        <f t="shared" si="6"/>
        <v>6.11</v>
      </c>
      <c r="AG15" s="251" t="s">
        <v>161</v>
      </c>
      <c r="AH15" s="251">
        <v>0.05</v>
      </c>
      <c r="AI15" s="251">
        <f t="shared" si="24"/>
        <v>79</v>
      </c>
      <c r="AJ15" s="251">
        <v>0.05</v>
      </c>
      <c r="AK15" s="251">
        <f t="shared" si="25"/>
        <v>79</v>
      </c>
      <c r="AL15" s="257"/>
      <c r="AM15" s="251"/>
      <c r="AN15" s="251"/>
      <c r="AO15" s="251"/>
      <c r="AP15" s="252"/>
      <c r="AQ15" s="258"/>
      <c r="AR15" s="258"/>
      <c r="AS15" s="259">
        <f t="shared" si="7"/>
        <v>720.52</v>
      </c>
      <c r="AT15" s="259">
        <f t="shared" si="8"/>
        <v>314.46</v>
      </c>
      <c r="AU15" s="259">
        <f t="shared" si="9"/>
        <v>79</v>
      </c>
      <c r="AV15" s="259">
        <f t="shared" si="10"/>
        <v>79</v>
      </c>
      <c r="AW15" s="259">
        <f t="shared" si="11"/>
        <v>1192.98</v>
      </c>
      <c r="AX15" s="225">
        <f t="shared" si="12"/>
        <v>1034.98</v>
      </c>
      <c r="AY15" s="225"/>
      <c r="AZ15" s="225">
        <f t="shared" si="26"/>
        <v>158</v>
      </c>
      <c r="BA15" s="225"/>
      <c r="BB15" s="224">
        <v>80</v>
      </c>
      <c r="BC15" s="225">
        <f t="shared" si="14"/>
        <v>1272.98</v>
      </c>
      <c r="BD15" s="260"/>
      <c r="BE15" s="261"/>
      <c r="BF15" s="261"/>
      <c r="BG15" s="261"/>
      <c r="BH15" s="261"/>
    </row>
    <row r="16" s="162" customFormat="1" ht="18" customHeight="1" spans="1:60">
      <c r="A16" s="179"/>
      <c r="B16" s="180"/>
      <c r="C16" s="174"/>
      <c r="D16" s="181"/>
      <c r="E16" s="182"/>
      <c r="F16" s="183"/>
      <c r="G16" s="184"/>
      <c r="H16" s="185"/>
      <c r="I16" s="181"/>
      <c r="J16" s="185"/>
      <c r="K16" s="185"/>
      <c r="L16" s="199"/>
      <c r="M16" s="199"/>
      <c r="N16" s="200"/>
      <c r="O16" s="199"/>
      <c r="P16" s="199"/>
      <c r="Q16" s="199"/>
      <c r="R16" s="199"/>
      <c r="S16" s="199"/>
      <c r="T16" s="199"/>
      <c r="U16" s="199"/>
      <c r="V16" s="202"/>
      <c r="W16" s="202"/>
      <c r="X16" s="203"/>
      <c r="Y16" s="202"/>
      <c r="Z16" s="199"/>
      <c r="AA16" s="199"/>
      <c r="AB16" s="199"/>
      <c r="AC16" s="199"/>
      <c r="AD16" s="199"/>
      <c r="AE16" s="199"/>
      <c r="AF16" s="200"/>
      <c r="AG16" s="199"/>
      <c r="AH16" s="199"/>
      <c r="AI16" s="199"/>
      <c r="AJ16" s="199"/>
      <c r="AK16" s="199"/>
      <c r="AL16" s="206"/>
      <c r="AM16" s="199"/>
      <c r="AN16" s="199"/>
      <c r="AO16" s="199"/>
      <c r="AP16" s="213"/>
      <c r="AQ16" s="214"/>
      <c r="AR16" s="199"/>
      <c r="AS16" s="215"/>
      <c r="AT16" s="215"/>
      <c r="AU16" s="215"/>
      <c r="AV16" s="215"/>
      <c r="AW16" s="215"/>
      <c r="AX16" s="227"/>
      <c r="AY16" s="228"/>
      <c r="AZ16" s="227"/>
      <c r="BA16" s="228"/>
      <c r="BB16" s="229"/>
      <c r="BC16" s="227"/>
      <c r="BD16" s="231"/>
      <c r="BE16" s="160"/>
      <c r="BF16" s="160"/>
      <c r="BG16" s="160"/>
      <c r="BH16" s="160"/>
    </row>
    <row r="17" s="160" customFormat="1" ht="14.25" spans="1:56">
      <c r="A17" s="186" t="s">
        <v>163</v>
      </c>
      <c r="B17" s="187"/>
      <c r="C17" s="188"/>
      <c r="D17" s="188"/>
      <c r="E17" s="189"/>
      <c r="F17" s="188"/>
      <c r="G17" s="188"/>
      <c r="H17" s="188"/>
      <c r="I17" s="188"/>
      <c r="J17" s="188"/>
      <c r="K17" s="188"/>
      <c r="L17" s="189">
        <f t="shared" ref="L17:BC17" si="27">SUM(L3:L15)</f>
        <v>33521.2</v>
      </c>
      <c r="M17" s="189">
        <f t="shared" si="27"/>
        <v>1.54</v>
      </c>
      <c r="N17" s="189">
        <f t="shared" si="27"/>
        <v>5135.22</v>
      </c>
      <c r="O17" s="189">
        <f t="shared" si="27"/>
        <v>0.8</v>
      </c>
      <c r="P17" s="189">
        <f t="shared" si="27"/>
        <v>2681.68</v>
      </c>
      <c r="Q17" s="189">
        <f t="shared" si="27"/>
        <v>40637.2</v>
      </c>
      <c r="R17" s="189">
        <f t="shared" si="27"/>
        <v>0.645</v>
      </c>
      <c r="S17" s="189">
        <f t="shared" si="27"/>
        <v>2543.61</v>
      </c>
      <c r="T17" s="189">
        <f t="shared" si="27"/>
        <v>0.2</v>
      </c>
      <c r="U17" s="189">
        <f t="shared" si="27"/>
        <v>812.74</v>
      </c>
      <c r="V17" s="189">
        <f t="shared" si="27"/>
        <v>33521.2</v>
      </c>
      <c r="W17" s="189">
        <f t="shared" si="27"/>
        <v>0.0586</v>
      </c>
      <c r="X17" s="189">
        <f t="shared" si="27"/>
        <v>191.29</v>
      </c>
      <c r="Y17" s="189">
        <f t="shared" si="27"/>
        <v>0.027</v>
      </c>
      <c r="Z17" s="189">
        <f t="shared" si="27"/>
        <v>89.17</v>
      </c>
      <c r="AA17" s="189">
        <f t="shared" si="27"/>
        <v>30737.2</v>
      </c>
      <c r="AB17" s="189">
        <f t="shared" si="27"/>
        <v>0.0535</v>
      </c>
      <c r="AC17" s="189">
        <f t="shared" si="27"/>
        <v>242.95</v>
      </c>
      <c r="AD17" s="189">
        <f t="shared" si="27"/>
        <v>35930.2</v>
      </c>
      <c r="AE17" s="189">
        <f t="shared" si="27"/>
        <v>0.0236</v>
      </c>
      <c r="AF17" s="189">
        <f t="shared" si="27"/>
        <v>66.32</v>
      </c>
      <c r="AG17" s="189">
        <f t="shared" si="27"/>
        <v>9000</v>
      </c>
      <c r="AH17" s="189">
        <f t="shared" si="27"/>
        <v>0.5</v>
      </c>
      <c r="AI17" s="189">
        <f t="shared" si="27"/>
        <v>1216</v>
      </c>
      <c r="AJ17" s="189">
        <f t="shared" si="27"/>
        <v>0.38</v>
      </c>
      <c r="AK17" s="189">
        <f t="shared" si="27"/>
        <v>856</v>
      </c>
      <c r="AL17" s="189">
        <f t="shared" si="27"/>
        <v>0</v>
      </c>
      <c r="AM17" s="189">
        <f t="shared" si="27"/>
        <v>0</v>
      </c>
      <c r="AN17" s="189">
        <f t="shared" si="27"/>
        <v>0</v>
      </c>
      <c r="AO17" s="189">
        <f t="shared" si="27"/>
        <v>0</v>
      </c>
      <c r="AP17" s="189">
        <f t="shared" si="27"/>
        <v>0</v>
      </c>
      <c r="AQ17" s="189">
        <f t="shared" si="27"/>
        <v>95.28</v>
      </c>
      <c r="AR17" s="189">
        <f t="shared" si="27"/>
        <v>96</v>
      </c>
      <c r="AS17" s="189">
        <f t="shared" si="27"/>
        <v>8274.67</v>
      </c>
      <c r="AT17" s="189">
        <f t="shared" si="27"/>
        <v>3583.59</v>
      </c>
      <c r="AU17" s="189">
        <f t="shared" si="27"/>
        <v>1216</v>
      </c>
      <c r="AV17" s="189">
        <f t="shared" si="27"/>
        <v>856</v>
      </c>
      <c r="AW17" s="189">
        <f t="shared" si="27"/>
        <v>13930.26</v>
      </c>
      <c r="AX17" s="189">
        <f t="shared" si="27"/>
        <v>11858.26</v>
      </c>
      <c r="AY17" s="189">
        <f t="shared" si="27"/>
        <v>0</v>
      </c>
      <c r="AZ17" s="189">
        <f t="shared" si="27"/>
        <v>2072</v>
      </c>
      <c r="BA17" s="189">
        <f t="shared" si="27"/>
        <v>0</v>
      </c>
      <c r="BB17" s="189">
        <f t="shared" si="27"/>
        <v>800</v>
      </c>
      <c r="BC17" s="189">
        <f t="shared" si="27"/>
        <v>14730.26</v>
      </c>
      <c r="BD17" s="232"/>
    </row>
    <row r="18" s="160" customFormat="1" ht="15" spans="1:56">
      <c r="A18" s="190" t="s">
        <v>61</v>
      </c>
      <c r="B18" s="191"/>
      <c r="C18" s="192"/>
      <c r="D18" s="192"/>
      <c r="E18" s="193"/>
      <c r="F18" s="193"/>
      <c r="G18" s="193"/>
      <c r="H18" s="193"/>
      <c r="I18" s="193"/>
      <c r="J18" s="193"/>
      <c r="K18" s="193"/>
      <c r="L18" s="201">
        <f t="shared" ref="L18:AX18" si="28">SUM(L17:L17)</f>
        <v>33521.2</v>
      </c>
      <c r="M18" s="201">
        <f t="shared" si="28"/>
        <v>1.54</v>
      </c>
      <c r="N18" s="201">
        <f t="shared" si="28"/>
        <v>5135.22</v>
      </c>
      <c r="O18" s="201">
        <f t="shared" si="28"/>
        <v>0.8</v>
      </c>
      <c r="P18" s="201">
        <f t="shared" si="28"/>
        <v>2681.68</v>
      </c>
      <c r="Q18" s="201">
        <f t="shared" si="28"/>
        <v>40637.2</v>
      </c>
      <c r="R18" s="201">
        <f t="shared" si="28"/>
        <v>0.645</v>
      </c>
      <c r="S18" s="201">
        <f t="shared" si="28"/>
        <v>2543.61</v>
      </c>
      <c r="T18" s="201">
        <f t="shared" si="28"/>
        <v>0.2</v>
      </c>
      <c r="U18" s="201">
        <f t="shared" si="28"/>
        <v>812.74</v>
      </c>
      <c r="V18" s="201">
        <f t="shared" si="28"/>
        <v>33521.2</v>
      </c>
      <c r="W18" s="201">
        <f t="shared" si="28"/>
        <v>0.0586</v>
      </c>
      <c r="X18" s="201">
        <f t="shared" si="28"/>
        <v>191.29</v>
      </c>
      <c r="Y18" s="201">
        <f t="shared" si="28"/>
        <v>0.027</v>
      </c>
      <c r="Z18" s="201">
        <f t="shared" si="28"/>
        <v>89.17</v>
      </c>
      <c r="AA18" s="201">
        <f t="shared" si="28"/>
        <v>30737.2</v>
      </c>
      <c r="AB18" s="201">
        <f t="shared" si="28"/>
        <v>0.0535</v>
      </c>
      <c r="AC18" s="201">
        <f t="shared" si="28"/>
        <v>242.95</v>
      </c>
      <c r="AD18" s="201">
        <f t="shared" si="28"/>
        <v>35930.2</v>
      </c>
      <c r="AE18" s="201">
        <f t="shared" si="28"/>
        <v>0.0236</v>
      </c>
      <c r="AF18" s="201">
        <f t="shared" si="28"/>
        <v>66.32</v>
      </c>
      <c r="AG18" s="201">
        <f t="shared" si="28"/>
        <v>9000</v>
      </c>
      <c r="AH18" s="201">
        <f t="shared" si="28"/>
        <v>0.5</v>
      </c>
      <c r="AI18" s="201">
        <f t="shared" si="28"/>
        <v>1216</v>
      </c>
      <c r="AJ18" s="201">
        <f t="shared" si="28"/>
        <v>0.38</v>
      </c>
      <c r="AK18" s="201">
        <f t="shared" si="28"/>
        <v>856</v>
      </c>
      <c r="AL18" s="201">
        <f t="shared" si="28"/>
        <v>0</v>
      </c>
      <c r="AM18" s="201">
        <f t="shared" si="28"/>
        <v>0</v>
      </c>
      <c r="AN18" s="201">
        <f t="shared" si="28"/>
        <v>0</v>
      </c>
      <c r="AO18" s="201">
        <f t="shared" si="28"/>
        <v>0</v>
      </c>
      <c r="AP18" s="201">
        <f t="shared" si="28"/>
        <v>0</v>
      </c>
      <c r="AQ18" s="201">
        <f t="shared" si="28"/>
        <v>95.28</v>
      </c>
      <c r="AR18" s="201">
        <f t="shared" si="28"/>
        <v>96</v>
      </c>
      <c r="AS18" s="216">
        <f t="shared" si="28"/>
        <v>8274.67</v>
      </c>
      <c r="AT18" s="216">
        <f t="shared" si="28"/>
        <v>3583.59</v>
      </c>
      <c r="AU18" s="216">
        <f t="shared" si="28"/>
        <v>1216</v>
      </c>
      <c r="AV18" s="216">
        <f t="shared" si="28"/>
        <v>856</v>
      </c>
      <c r="AW18" s="216">
        <f t="shared" si="28"/>
        <v>13930.26</v>
      </c>
      <c r="AX18" s="233">
        <f t="shared" si="28"/>
        <v>11858.26</v>
      </c>
      <c r="AY18" s="233"/>
      <c r="AZ18" s="233">
        <f t="shared" ref="AZ18:BC18" si="29">SUM(AZ17:AZ17)</f>
        <v>2072</v>
      </c>
      <c r="BA18" s="233"/>
      <c r="BB18" s="201">
        <f t="shared" si="29"/>
        <v>800</v>
      </c>
      <c r="BC18" s="201">
        <f t="shared" si="29"/>
        <v>14730.26</v>
      </c>
      <c r="BD18" s="234"/>
    </row>
    <row r="19" s="163" customFormat="1" spans="1:56">
      <c r="A19" s="194"/>
      <c r="B19" s="194"/>
      <c r="C19" s="194"/>
      <c r="D19" s="194"/>
      <c r="E19" s="194"/>
      <c r="F19" s="195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217"/>
      <c r="AT19" s="217"/>
      <c r="AU19" s="217"/>
      <c r="AV19" s="217"/>
      <c r="AW19" s="217"/>
      <c r="AX19" s="194"/>
      <c r="AY19" s="194"/>
      <c r="AZ19" s="194"/>
      <c r="BA19" s="194"/>
      <c r="BB19" s="194"/>
      <c r="BC19" s="194"/>
      <c r="BD19" s="235"/>
    </row>
    <row r="20" s="164" customFormat="1" spans="1:56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60"/>
      <c r="AK20" s="160"/>
      <c r="AL20" s="160"/>
      <c r="AM20" s="160"/>
      <c r="AN20" s="160"/>
      <c r="AO20" s="160"/>
      <c r="AP20" s="160"/>
      <c r="AQ20" s="160"/>
      <c r="AR20" s="160"/>
      <c r="AS20" s="165"/>
      <c r="AT20" s="165"/>
      <c r="AU20" s="165"/>
      <c r="AV20" s="165"/>
      <c r="AW20" s="165"/>
      <c r="AX20" s="160"/>
      <c r="AY20" s="160"/>
      <c r="AZ20" s="160"/>
      <c r="BA20" s="160"/>
      <c r="BB20" s="160"/>
      <c r="BC20" s="160"/>
      <c r="BD20" s="166"/>
    </row>
    <row r="21" s="160" customFormat="1" spans="45:56">
      <c r="AS21" s="165"/>
      <c r="AT21" s="165"/>
      <c r="AU21" s="165"/>
      <c r="AV21" s="165"/>
      <c r="AW21" s="165"/>
      <c r="BD21" s="166"/>
    </row>
    <row r="22" spans="50:55">
      <c r="AX22" s="236"/>
      <c r="AY22" s="236"/>
      <c r="BC22" s="237"/>
    </row>
    <row r="23" s="160" customFormat="1" spans="45:56">
      <c r="AS23" s="165"/>
      <c r="AT23" s="165"/>
      <c r="AU23" s="165"/>
      <c r="AV23" s="165"/>
      <c r="AW23" s="165"/>
      <c r="BD23" s="166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42" t="s">
        <v>51</v>
      </c>
      <c r="D4" s="37" t="s">
        <v>52</v>
      </c>
      <c r="E4" s="243" t="s">
        <v>53</v>
      </c>
      <c r="F4" s="38" t="str">
        <f>IF(MOD(MID(E4,17,1),2)=1,"男","女")</f>
        <v>男</v>
      </c>
      <c r="G4" s="244">
        <v>18035163638</v>
      </c>
      <c r="H4" s="245"/>
      <c r="I4" s="245"/>
      <c r="J4" s="247"/>
      <c r="K4" s="245"/>
      <c r="L4" s="248">
        <v>7700</v>
      </c>
      <c r="M4" s="248">
        <v>264</v>
      </c>
      <c r="N4" s="248">
        <v>66</v>
      </c>
      <c r="O4" s="248">
        <v>9.9</v>
      </c>
      <c r="P4" s="248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35160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>
        <v>4000</v>
      </c>
      <c r="Y4" s="70"/>
      <c r="Z4" s="70"/>
      <c r="AA4" s="70"/>
      <c r="AB4" s="90">
        <f>ROUND(SUM(V4:AA4),2)</f>
        <v>4000</v>
      </c>
      <c r="AC4" s="90">
        <f>R4+IFERROR(VLOOKUP($E:$E,'（居民）工资表-3月'!$E:$AC,25,0),0)</f>
        <v>0</v>
      </c>
      <c r="AD4" s="93">
        <f>ROUND(S4-T4-U4-AB4-AC4,2)</f>
        <v>9080.4</v>
      </c>
      <c r="AE4" s="94">
        <f>ROUND(MAX((AD4)*{0.03;0.1;0.2;0.25;0.3;0.35;0.45}-{0;2520;16920;31920;52920;85920;181920},0),2)</f>
        <v>272.41</v>
      </c>
      <c r="AF4" s="95">
        <f>IFERROR(VLOOKUP(E:E,'（居民）工资表-3月'!E:AF,28,0)+VLOOKUP(E:E,'（居民）工资表-3月'!E:AG,29,0),0)</f>
        <v>237.01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46" t="s">
        <v>57</v>
      </c>
      <c r="D5" s="37" t="s">
        <v>52</v>
      </c>
      <c r="E5" s="365" t="s">
        <v>58</v>
      </c>
      <c r="F5" s="38" t="str">
        <f>IF(MOD(MID(E5,17,1),2)=1,"男","女")</f>
        <v>女</v>
      </c>
      <c r="G5" s="244">
        <v>13926009696</v>
      </c>
      <c r="H5" s="245"/>
      <c r="I5" s="245"/>
      <c r="J5" s="247"/>
      <c r="K5" s="245"/>
      <c r="L5" s="248">
        <v>5800</v>
      </c>
      <c r="M5" s="248">
        <v>304.24</v>
      </c>
      <c r="N5" s="248">
        <v>123.5</v>
      </c>
      <c r="O5" s="248">
        <v>7.61</v>
      </c>
      <c r="P5" s="248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IFERROR(VLOOKUP(E:E,'（居民）工资表-3月'!E:AF,28,0)+VLOOKUP(E:E,'（居民）工资表-3月'!E:AG,29,0),0)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59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63260</v>
      </c>
      <c r="T7" s="74">
        <f t="shared" si="0"/>
        <v>45000</v>
      </c>
      <c r="U7" s="74">
        <f t="shared" si="0"/>
        <v>3821</v>
      </c>
      <c r="V7" s="74">
        <f t="shared" si="0"/>
        <v>0</v>
      </c>
      <c r="W7" s="74">
        <f t="shared" si="0"/>
        <v>0</v>
      </c>
      <c r="X7" s="74">
        <f t="shared" si="0"/>
        <v>4000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4000</v>
      </c>
      <c r="AC7" s="74">
        <f t="shared" si="0"/>
        <v>0</v>
      </c>
      <c r="AD7" s="74">
        <f t="shared" si="0"/>
        <v>10439</v>
      </c>
      <c r="AE7" s="74">
        <f t="shared" si="0"/>
        <v>316.17</v>
      </c>
      <c r="AF7" s="74">
        <f t="shared" si="0"/>
        <v>269.83</v>
      </c>
      <c r="AG7" s="74">
        <f t="shared" si="0"/>
        <v>46.34</v>
      </c>
      <c r="AH7" s="74">
        <f t="shared" si="0"/>
        <v>17398.41</v>
      </c>
      <c r="AI7" s="105">
        <f t="shared" si="0"/>
        <v>0</v>
      </c>
      <c r="AJ7" s="74">
        <f t="shared" si="0"/>
        <v>17398.41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60</v>
      </c>
      <c r="D11" s="47" t="s">
        <v>30</v>
      </c>
      <c r="E11" s="47" t="s">
        <v>61</v>
      </c>
      <c r="AD11" s="10"/>
      <c r="AG11" s="249"/>
    </row>
    <row r="12" ht="18.75" customHeight="1" spans="2:5">
      <c r="B12" s="48">
        <f>AJ7</f>
        <v>17398.41</v>
      </c>
      <c r="C12" s="48">
        <f>AG7</f>
        <v>46.34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62</v>
      </c>
      <c r="B14" s="51" t="s">
        <v>63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64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65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66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67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69</v>
      </c>
    </row>
    <row r="22" spans="2:2">
      <c r="B22" s="59" t="s">
        <v>70</v>
      </c>
    </row>
    <row r="23" spans="2:2">
      <c r="B23" s="59" t="s">
        <v>71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42" t="s">
        <v>51</v>
      </c>
      <c r="D4" s="37" t="s">
        <v>52</v>
      </c>
      <c r="E4" s="243" t="s">
        <v>53</v>
      </c>
      <c r="F4" s="38" t="str">
        <f t="shared" ref="F4:F7" si="0">IF(MOD(MID(E4,17,1),2)=1,"男","女")</f>
        <v>男</v>
      </c>
      <c r="G4" s="244">
        <v>18035163638</v>
      </c>
      <c r="H4" s="245"/>
      <c r="I4" s="245"/>
      <c r="J4" s="247"/>
      <c r="K4" s="245"/>
      <c r="L4" s="248">
        <v>7700</v>
      </c>
      <c r="M4" s="248">
        <v>264</v>
      </c>
      <c r="N4" s="248">
        <v>66</v>
      </c>
      <c r="O4" s="248">
        <v>9.9</v>
      </c>
      <c r="P4" s="248">
        <v>180</v>
      </c>
      <c r="Q4" s="89">
        <f t="shared" ref="Q4:Q7" si="1">ROUND(SUM(M4:P4),2)</f>
        <v>519.9</v>
      </c>
      <c r="R4" s="70">
        <v>0</v>
      </c>
      <c r="S4" s="90">
        <f>L4+IFERROR(VLOOKUP($E:$E,'（居民）工资表-4月'!$E:$S,15,0),0)</f>
        <v>42860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>
        <v>5000</v>
      </c>
      <c r="Y4" s="70"/>
      <c r="Z4" s="70"/>
      <c r="AA4" s="70"/>
      <c r="AB4" s="90">
        <f t="shared" ref="AB4:AB7" si="2">ROUND(SUM(V4:AA4),2)</f>
        <v>5000</v>
      </c>
      <c r="AC4" s="90">
        <f>R4+IFERROR(VLOOKUP($E:$E,'（居民）工资表-4月'!$E:$AC,25,0),0)</f>
        <v>0</v>
      </c>
      <c r="AD4" s="93">
        <f t="shared" ref="AD4:AD7" si="3">ROUND(S4-T4-U4-AB4-AC4,2)</f>
        <v>10260.5</v>
      </c>
      <c r="AE4" s="94">
        <f>ROUND(MAX((AD4)*{0.03;0.1;0.2;0.25;0.3;0.35;0.45}-{0;2520;16920;31920;52920;85920;181920},0),2)</f>
        <v>307.82</v>
      </c>
      <c r="AF4" s="95">
        <f>IFERROR(VLOOKUP(E:E,'（居民）工资表-4月'!E:AF,28,0)+VLOOKUP(E:E,'（居民）工资表-4月'!E:AG,29,0),0)</f>
        <v>272.41</v>
      </c>
      <c r="AG4" s="95">
        <f t="shared" ref="AG4:AG7" si="4">IF((AE4-AF4)&lt;0,0,AE4-AF4)</f>
        <v>35.41</v>
      </c>
      <c r="AH4" s="102">
        <f t="shared" ref="AH4:AH7" si="5">ROUND(IF((L4-Q4-AG4)&lt;0,0,(L4-Q4-AG4)),2)</f>
        <v>7144.69</v>
      </c>
      <c r="AI4" s="103"/>
      <c r="AJ4" s="102">
        <f t="shared" ref="AJ4:AJ7" si="6">AH4+AI4</f>
        <v>7144.69</v>
      </c>
      <c r="AK4" s="104"/>
      <c r="AL4" s="102">
        <f t="shared" ref="AL4:AL7" si="7">AJ4+AG4+AK4</f>
        <v>7180.1</v>
      </c>
      <c r="AM4" s="104"/>
      <c r="AN4" s="104"/>
      <c r="AO4" s="104"/>
      <c r="AP4" s="104"/>
      <c r="AQ4" s="104"/>
      <c r="AR4" s="11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46" t="s">
        <v>57</v>
      </c>
      <c r="D5" s="37" t="s">
        <v>52</v>
      </c>
      <c r="E5" s="365" t="s">
        <v>58</v>
      </c>
      <c r="F5" s="38" t="str">
        <f t="shared" si="0"/>
        <v>女</v>
      </c>
      <c r="G5" s="244">
        <v>13926009696</v>
      </c>
      <c r="H5" s="245"/>
      <c r="I5" s="245"/>
      <c r="J5" s="247"/>
      <c r="K5" s="245"/>
      <c r="L5" s="248">
        <v>5800</v>
      </c>
      <c r="M5" s="248">
        <v>304.24</v>
      </c>
      <c r="N5" s="248">
        <v>123.5</v>
      </c>
      <c r="O5" s="248">
        <v>7.61</v>
      </c>
      <c r="P5" s="248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29000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2176.75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1823.25</v>
      </c>
      <c r="AE5" s="94">
        <f>ROUND(MAX((AD5)*{0.03;0.1;0.2;0.25;0.3;0.35;0.45}-{0;2520;16920;31920;52920;85920;181920},0),2)</f>
        <v>54.7</v>
      </c>
      <c r="AF5" s="95">
        <f>IFERROR(VLOOKUP(E:E,'（居民）工资表-4月'!E:AF,28,0)+VLOOKUP(E:E,'（居民）工资表-4月'!E:AG,29,0),0)</f>
        <v>43.76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8" t="s">
        <v>165</v>
      </c>
      <c r="F7" s="38" t="str">
        <f t="shared" si="0"/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 t="shared" si="1"/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 t="shared" si="2"/>
        <v>0</v>
      </c>
      <c r="AC7" s="90">
        <f>R7+IFERROR(VLOOKUP($E:$E,'（居民）工资表-4月'!$E:$AC,25,0),0)</f>
        <v>0</v>
      </c>
      <c r="AD7" s="93">
        <f t="shared" si="3"/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 t="shared" si="4"/>
        <v>207.14</v>
      </c>
      <c r="AH7" s="102">
        <f t="shared" si="5"/>
        <v>11697.62</v>
      </c>
      <c r="AI7" s="103"/>
      <c r="AJ7" s="102">
        <f t="shared" si="6"/>
        <v>11697.62</v>
      </c>
      <c r="AK7" s="104"/>
      <c r="AL7" s="102">
        <f t="shared" si="7"/>
        <v>11904.76</v>
      </c>
      <c r="AM7" s="104"/>
      <c r="AN7" s="104"/>
      <c r="AO7" s="104"/>
      <c r="AP7" s="104"/>
      <c r="AQ7" s="104"/>
      <c r="AR7" s="111" t="str">
        <f t="shared" si="8"/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96784.76</v>
      </c>
      <c r="T8" s="74">
        <f t="shared" si="9"/>
        <v>65000</v>
      </c>
      <c r="U8" s="74">
        <f t="shared" si="9"/>
        <v>5563.17</v>
      </c>
      <c r="V8" s="74">
        <f t="shared" si="9"/>
        <v>0</v>
      </c>
      <c r="W8" s="74">
        <f t="shared" si="9"/>
        <v>0</v>
      </c>
      <c r="X8" s="74">
        <f t="shared" si="9"/>
        <v>5000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5000</v>
      </c>
      <c r="AC8" s="74">
        <f t="shared" si="9"/>
        <v>0</v>
      </c>
      <c r="AD8" s="74">
        <f t="shared" si="9"/>
        <v>21221.59</v>
      </c>
      <c r="AE8" s="74">
        <f t="shared" si="9"/>
        <v>636.65</v>
      </c>
      <c r="AF8" s="74">
        <f t="shared" si="9"/>
        <v>316.17</v>
      </c>
      <c r="AG8" s="74">
        <f t="shared" si="9"/>
        <v>320.48</v>
      </c>
      <c r="AH8" s="74">
        <f t="shared" si="9"/>
        <v>31462.11</v>
      </c>
      <c r="AI8" s="105">
        <f t="shared" si="9"/>
        <v>0</v>
      </c>
      <c r="AJ8" s="74">
        <f t="shared" si="9"/>
        <v>31462.11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60</v>
      </c>
      <c r="D12" s="47" t="s">
        <v>30</v>
      </c>
      <c r="E12" s="47" t="s">
        <v>61</v>
      </c>
      <c r="AD12" s="10"/>
      <c r="AG12" s="19"/>
    </row>
    <row r="13" ht="18.75" customHeight="1" spans="2:5">
      <c r="B13" s="48">
        <f>AJ8</f>
        <v>31462.11</v>
      </c>
      <c r="C13" s="48">
        <f>AG8</f>
        <v>320.48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8"/>
  <sheetViews>
    <sheetView workbookViewId="0">
      <selection activeCell="G12" sqref="G12"/>
    </sheetView>
  </sheetViews>
  <sheetFormatPr defaultColWidth="9" defaultRowHeight="16.5"/>
  <cols>
    <col min="1" max="1" width="5" style="160" customWidth="1"/>
    <col min="2" max="2" width="25" style="160" customWidth="1"/>
    <col min="3" max="3" width="7.375" style="160" customWidth="1"/>
    <col min="4" max="4" width="9.5" style="160" customWidth="1"/>
    <col min="5" max="5" width="8.25" style="160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5" style="160" customWidth="1"/>
    <col min="38" max="38" width="9.125" style="160" hidden="1" customWidth="1"/>
    <col min="39" max="42" width="9.25" style="160" hidden="1" customWidth="1"/>
    <col min="43" max="43" width="9.875" style="160" customWidth="1"/>
    <col min="44" max="44" width="9.375" style="160" customWidth="1"/>
    <col min="45" max="45" width="10.25" style="165" customWidth="1"/>
    <col min="46" max="46" width="10" style="165" customWidth="1"/>
    <col min="47" max="49" width="9.25" style="165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6" customWidth="1"/>
    <col min="57" max="57" width="10.625" style="160" customWidth="1"/>
    <col min="58" max="16384" width="9" style="160"/>
  </cols>
  <sheetData>
    <row r="1" s="159" customFormat="1" ht="22.5" customHeight="1" spans="1:56">
      <c r="A1" s="167" t="s">
        <v>2</v>
      </c>
      <c r="B1" s="168" t="s">
        <v>108</v>
      </c>
      <c r="C1" s="168" t="s">
        <v>109</v>
      </c>
      <c r="D1" s="167" t="s">
        <v>110</v>
      </c>
      <c r="E1" s="168" t="s">
        <v>111</v>
      </c>
      <c r="F1" s="168" t="s">
        <v>112</v>
      </c>
      <c r="G1" s="168" t="s">
        <v>113</v>
      </c>
      <c r="H1" s="168" t="s">
        <v>114</v>
      </c>
      <c r="I1" s="168" t="s">
        <v>115</v>
      </c>
      <c r="J1" s="168" t="s">
        <v>116</v>
      </c>
      <c r="K1" s="168" t="s">
        <v>117</v>
      </c>
      <c r="L1" s="196" t="s">
        <v>118</v>
      </c>
      <c r="M1" s="196"/>
      <c r="N1" s="196"/>
      <c r="O1" s="196"/>
      <c r="P1" s="196"/>
      <c r="Q1" s="196" t="s">
        <v>119</v>
      </c>
      <c r="R1" s="196"/>
      <c r="S1" s="196"/>
      <c r="T1" s="196"/>
      <c r="U1" s="196"/>
      <c r="V1" s="196" t="s">
        <v>120</v>
      </c>
      <c r="W1" s="196"/>
      <c r="X1" s="196"/>
      <c r="Y1" s="196"/>
      <c r="Z1" s="196"/>
      <c r="AA1" s="167" t="s">
        <v>121</v>
      </c>
      <c r="AB1" s="167"/>
      <c r="AC1" s="167"/>
      <c r="AD1" s="167" t="s">
        <v>122</v>
      </c>
      <c r="AE1" s="167"/>
      <c r="AF1" s="167"/>
      <c r="AG1" s="196" t="s">
        <v>123</v>
      </c>
      <c r="AH1" s="196"/>
      <c r="AI1" s="196"/>
      <c r="AJ1" s="196"/>
      <c r="AK1" s="196"/>
      <c r="AL1" s="167" t="s">
        <v>124</v>
      </c>
      <c r="AM1" s="167"/>
      <c r="AN1" s="167"/>
      <c r="AO1" s="167"/>
      <c r="AP1" s="167"/>
      <c r="AQ1" s="167" t="s">
        <v>125</v>
      </c>
      <c r="AR1" s="167"/>
      <c r="AS1" s="207" t="s">
        <v>126</v>
      </c>
      <c r="AT1" s="207"/>
      <c r="AU1" s="207"/>
      <c r="AV1" s="207"/>
      <c r="AW1" s="207"/>
      <c r="AX1" s="167" t="s">
        <v>127</v>
      </c>
      <c r="AY1" s="167"/>
      <c r="AZ1" s="167" t="s">
        <v>128</v>
      </c>
      <c r="BA1" s="167"/>
      <c r="BB1" s="167" t="s">
        <v>30</v>
      </c>
      <c r="BC1" s="167" t="s">
        <v>61</v>
      </c>
      <c r="BD1" s="218" t="s">
        <v>94</v>
      </c>
    </row>
    <row r="2" s="160" customFormat="1" ht="22.5" customHeight="1" spans="1:56">
      <c r="A2" s="167"/>
      <c r="B2" s="169"/>
      <c r="C2" s="168"/>
      <c r="D2" s="167"/>
      <c r="E2" s="168"/>
      <c r="F2" s="170"/>
      <c r="G2" s="170"/>
      <c r="H2" s="168"/>
      <c r="I2" s="168"/>
      <c r="J2" s="168"/>
      <c r="K2" s="168"/>
      <c r="L2" s="197" t="s">
        <v>129</v>
      </c>
      <c r="M2" s="197" t="s">
        <v>130</v>
      </c>
      <c r="N2" s="197" t="s">
        <v>131</v>
      </c>
      <c r="O2" s="197" t="s">
        <v>132</v>
      </c>
      <c r="P2" s="197" t="s">
        <v>133</v>
      </c>
      <c r="Q2" s="197" t="s">
        <v>129</v>
      </c>
      <c r="R2" s="197" t="s">
        <v>130</v>
      </c>
      <c r="S2" s="197" t="s">
        <v>131</v>
      </c>
      <c r="T2" s="197" t="s">
        <v>132</v>
      </c>
      <c r="U2" s="197" t="s">
        <v>133</v>
      </c>
      <c r="V2" s="197" t="s">
        <v>129</v>
      </c>
      <c r="W2" s="197" t="s">
        <v>130</v>
      </c>
      <c r="X2" s="197" t="s">
        <v>131</v>
      </c>
      <c r="Y2" s="197" t="s">
        <v>132</v>
      </c>
      <c r="Z2" s="197" t="s">
        <v>133</v>
      </c>
      <c r="AA2" s="197" t="s">
        <v>129</v>
      </c>
      <c r="AB2" s="197" t="s">
        <v>134</v>
      </c>
      <c r="AC2" s="197" t="s">
        <v>93</v>
      </c>
      <c r="AD2" s="197" t="s">
        <v>129</v>
      </c>
      <c r="AE2" s="197" t="s">
        <v>134</v>
      </c>
      <c r="AF2" s="197" t="s">
        <v>93</v>
      </c>
      <c r="AG2" s="197" t="s">
        <v>129</v>
      </c>
      <c r="AH2" s="197" t="s">
        <v>130</v>
      </c>
      <c r="AI2" s="197" t="s">
        <v>131</v>
      </c>
      <c r="AJ2" s="197" t="s">
        <v>132</v>
      </c>
      <c r="AK2" s="197" t="s">
        <v>133</v>
      </c>
      <c r="AL2" s="197" t="s">
        <v>129</v>
      </c>
      <c r="AM2" s="197" t="s">
        <v>130</v>
      </c>
      <c r="AN2" s="197" t="s">
        <v>131</v>
      </c>
      <c r="AO2" s="197" t="s">
        <v>132</v>
      </c>
      <c r="AP2" s="197" t="s">
        <v>133</v>
      </c>
      <c r="AQ2" s="197" t="s">
        <v>135</v>
      </c>
      <c r="AR2" s="197" t="s">
        <v>136</v>
      </c>
      <c r="AS2" s="208" t="s">
        <v>137</v>
      </c>
      <c r="AT2" s="208" t="s">
        <v>138</v>
      </c>
      <c r="AU2" s="208" t="s">
        <v>139</v>
      </c>
      <c r="AV2" s="208" t="s">
        <v>43</v>
      </c>
      <c r="AW2" s="208" t="s">
        <v>101</v>
      </c>
      <c r="AX2" s="167"/>
      <c r="AY2" s="167"/>
      <c r="AZ2" s="167"/>
      <c r="BA2" s="167"/>
      <c r="BB2" s="167"/>
      <c r="BC2" s="167"/>
      <c r="BD2" s="218"/>
    </row>
    <row r="3" s="161" customFormat="1" ht="18" customHeight="1" spans="1:60">
      <c r="A3" s="171">
        <v>1</v>
      </c>
      <c r="B3" s="142" t="s">
        <v>140</v>
      </c>
      <c r="C3" s="131" t="s">
        <v>141</v>
      </c>
      <c r="D3" s="141" t="s">
        <v>142</v>
      </c>
      <c r="E3" s="142" t="s">
        <v>143</v>
      </c>
      <c r="F3" s="143" t="s">
        <v>51</v>
      </c>
      <c r="G3" s="144" t="s">
        <v>53</v>
      </c>
      <c r="H3" s="141" t="s">
        <v>144</v>
      </c>
      <c r="I3" s="141" t="s">
        <v>144</v>
      </c>
      <c r="J3" s="141" t="s">
        <v>166</v>
      </c>
      <c r="K3" s="141" t="s">
        <v>166</v>
      </c>
      <c r="L3" s="171">
        <v>3300</v>
      </c>
      <c r="M3" s="171">
        <v>0.16</v>
      </c>
      <c r="N3" s="171">
        <f>ROUND(L3*M3,2)</f>
        <v>528</v>
      </c>
      <c r="O3" s="171">
        <v>0.08</v>
      </c>
      <c r="P3" s="171">
        <f>ROUND(L3*O3,2)</f>
        <v>264</v>
      </c>
      <c r="Q3" s="171">
        <v>3300</v>
      </c>
      <c r="R3" s="171">
        <v>0.08</v>
      </c>
      <c r="S3" s="171">
        <f>ROUND(Q3*R3,2)</f>
        <v>264</v>
      </c>
      <c r="T3" s="171">
        <v>0.02</v>
      </c>
      <c r="U3" s="171">
        <f>ROUND(Q3*T3,2)</f>
        <v>66</v>
      </c>
      <c r="V3" s="171">
        <v>3300</v>
      </c>
      <c r="W3" s="171">
        <v>0.007</v>
      </c>
      <c r="X3" s="171">
        <f>ROUND(V3*W3,2)</f>
        <v>23.1</v>
      </c>
      <c r="Y3" s="171">
        <v>0.003</v>
      </c>
      <c r="Z3" s="171">
        <f>ROUND(V3*Y3,2)</f>
        <v>9.9</v>
      </c>
      <c r="AA3" s="171"/>
      <c r="AB3" s="171"/>
      <c r="AC3" s="171"/>
      <c r="AD3" s="171">
        <v>3300</v>
      </c>
      <c r="AE3" s="171">
        <v>0.004</v>
      </c>
      <c r="AF3" s="171">
        <f>ROUND(AD3*AE3,2)</f>
        <v>13.2</v>
      </c>
      <c r="AG3" s="171">
        <v>3000</v>
      </c>
      <c r="AH3" s="171">
        <v>0.1</v>
      </c>
      <c r="AI3" s="171">
        <f>ROUND(AG3*AH3,2)</f>
        <v>300</v>
      </c>
      <c r="AJ3" s="171">
        <v>0.06</v>
      </c>
      <c r="AK3" s="171">
        <f>ROUND(AG3*AJ3,2)</f>
        <v>180</v>
      </c>
      <c r="AL3" s="204"/>
      <c r="AM3" s="171"/>
      <c r="AN3" s="171"/>
      <c r="AO3" s="171"/>
      <c r="AP3" s="142" t="s">
        <v>146</v>
      </c>
      <c r="AQ3" s="209">
        <v>9</v>
      </c>
      <c r="AR3" s="171"/>
      <c r="AS3" s="210">
        <f>N3+S3+X3+AC3+AF3+AN3+AQ3</f>
        <v>837.3</v>
      </c>
      <c r="AT3" s="210">
        <f>P3+U3+Z3</f>
        <v>339.9</v>
      </c>
      <c r="AU3" s="210">
        <f>AI3</f>
        <v>300</v>
      </c>
      <c r="AV3" s="210">
        <f>AK3</f>
        <v>180</v>
      </c>
      <c r="AW3" s="210">
        <f>AV3+AS3+AT3+AU3</f>
        <v>1657.2</v>
      </c>
      <c r="AX3" s="219">
        <f>AS3+AT3</f>
        <v>1177.2</v>
      </c>
      <c r="AY3" s="219"/>
      <c r="AZ3" s="219">
        <f>AU3+AV3</f>
        <v>480</v>
      </c>
      <c r="BA3" s="219"/>
      <c r="BB3" s="220">
        <v>80</v>
      </c>
      <c r="BC3" s="219">
        <f>AX3+AZ3+BB3</f>
        <v>1737.2</v>
      </c>
      <c r="BD3" s="221"/>
      <c r="BE3" s="238"/>
      <c r="BF3" s="239"/>
      <c r="BG3" s="239"/>
      <c r="BH3" s="240" t="s">
        <v>146</v>
      </c>
    </row>
    <row r="4" s="161" customFormat="1" ht="18" customHeight="1" spans="1:60">
      <c r="A4" s="171"/>
      <c r="B4" s="142" t="s">
        <v>140</v>
      </c>
      <c r="C4" s="131" t="s">
        <v>141</v>
      </c>
      <c r="D4" s="141" t="s">
        <v>142</v>
      </c>
      <c r="E4" s="142" t="s">
        <v>143</v>
      </c>
      <c r="F4" s="143" t="s">
        <v>51</v>
      </c>
      <c r="G4" s="144" t="s">
        <v>53</v>
      </c>
      <c r="H4" s="141" t="s">
        <v>144</v>
      </c>
      <c r="I4" s="141" t="s">
        <v>144</v>
      </c>
      <c r="J4" s="141" t="s">
        <v>167</v>
      </c>
      <c r="K4" s="141" t="s">
        <v>167</v>
      </c>
      <c r="L4" s="171">
        <v>3300</v>
      </c>
      <c r="M4" s="171">
        <v>0.16</v>
      </c>
      <c r="N4" s="171">
        <f>ROUND(L4*M4,2)</f>
        <v>528</v>
      </c>
      <c r="O4" s="171">
        <v>0.08</v>
      </c>
      <c r="P4" s="171">
        <f>ROUND(L4*O4,2)</f>
        <v>264</v>
      </c>
      <c r="Q4" s="171">
        <v>3300</v>
      </c>
      <c r="R4" s="171">
        <v>0.08</v>
      </c>
      <c r="S4" s="171">
        <f>ROUND(Q4*R4,2)</f>
        <v>264</v>
      </c>
      <c r="T4" s="171">
        <v>0.02</v>
      </c>
      <c r="U4" s="171">
        <f>ROUND(Q4*T4,2)</f>
        <v>66</v>
      </c>
      <c r="V4" s="171">
        <v>3300</v>
      </c>
      <c r="W4" s="171">
        <v>0.007</v>
      </c>
      <c r="X4" s="171">
        <f>ROUND(V4*W4,2)</f>
        <v>23.1</v>
      </c>
      <c r="Y4" s="171">
        <v>0.003</v>
      </c>
      <c r="Z4" s="171">
        <f>ROUND(V4*Y4,2)</f>
        <v>9.9</v>
      </c>
      <c r="AA4" s="171"/>
      <c r="AB4" s="171"/>
      <c r="AC4" s="171"/>
      <c r="AD4" s="171">
        <v>3300</v>
      </c>
      <c r="AE4" s="171">
        <v>0.004</v>
      </c>
      <c r="AF4" s="171">
        <f>ROUND(AD4*AE4,2)</f>
        <v>13.2</v>
      </c>
      <c r="AG4" s="171">
        <v>3000</v>
      </c>
      <c r="AH4" s="171">
        <v>0.1</v>
      </c>
      <c r="AI4" s="171">
        <f>ROUND(AG4*AH4,2)</f>
        <v>300</v>
      </c>
      <c r="AJ4" s="171">
        <v>0.06</v>
      </c>
      <c r="AK4" s="171">
        <f>ROUND(AG4*AJ4,2)</f>
        <v>180</v>
      </c>
      <c r="AL4" s="204"/>
      <c r="AM4" s="171"/>
      <c r="AN4" s="171"/>
      <c r="AO4" s="171"/>
      <c r="AP4" s="142" t="s">
        <v>146</v>
      </c>
      <c r="AQ4" s="209">
        <v>9</v>
      </c>
      <c r="AR4" s="171"/>
      <c r="AS4" s="210">
        <f>N4+S4+X4+AC4+AF4+AN4+AQ4</f>
        <v>837.3</v>
      </c>
      <c r="AT4" s="210">
        <f>P4+U4+Z4</f>
        <v>339.9</v>
      </c>
      <c r="AU4" s="210">
        <f>AI4</f>
        <v>300</v>
      </c>
      <c r="AV4" s="210">
        <f>AK4</f>
        <v>180</v>
      </c>
      <c r="AW4" s="210">
        <f>AV4+AS4+AT4+AU4</f>
        <v>1657.2</v>
      </c>
      <c r="AX4" s="219">
        <f>AS4+AT4</f>
        <v>1177.2</v>
      </c>
      <c r="AY4" s="219"/>
      <c r="AZ4" s="219">
        <f>AU4+AV4</f>
        <v>480</v>
      </c>
      <c r="BA4" s="219"/>
      <c r="BB4" s="220">
        <v>80</v>
      </c>
      <c r="BC4" s="219">
        <f>AX4+AZ4+BB4</f>
        <v>1737.2</v>
      </c>
      <c r="BD4" s="221"/>
      <c r="BE4" s="238"/>
      <c r="BF4" s="239"/>
      <c r="BG4" s="239"/>
      <c r="BH4" s="240" t="s">
        <v>146</v>
      </c>
    </row>
    <row r="5" s="161" customFormat="1" ht="18" customHeight="1" spans="1:60">
      <c r="A5" s="171"/>
      <c r="B5" s="142" t="s">
        <v>140</v>
      </c>
      <c r="C5" s="131" t="s">
        <v>141</v>
      </c>
      <c r="D5" s="141" t="s">
        <v>142</v>
      </c>
      <c r="E5" s="142" t="s">
        <v>143</v>
      </c>
      <c r="F5" s="143" t="s">
        <v>51</v>
      </c>
      <c r="G5" s="144" t="s">
        <v>53</v>
      </c>
      <c r="H5" s="141" t="s">
        <v>144</v>
      </c>
      <c r="I5" s="141" t="s">
        <v>144</v>
      </c>
      <c r="J5" s="141" t="s">
        <v>168</v>
      </c>
      <c r="K5" s="141" t="s">
        <v>168</v>
      </c>
      <c r="L5" s="171">
        <v>3300</v>
      </c>
      <c r="M5" s="171">
        <v>0.16</v>
      </c>
      <c r="N5" s="171">
        <f>ROUND(L5*M5,2)</f>
        <v>528</v>
      </c>
      <c r="O5" s="171">
        <v>0.08</v>
      </c>
      <c r="P5" s="171">
        <f>ROUND(L5*O5,2)</f>
        <v>264</v>
      </c>
      <c r="Q5" s="171">
        <v>3300</v>
      </c>
      <c r="R5" s="171">
        <v>0.08</v>
      </c>
      <c r="S5" s="171">
        <f>ROUND(Q5*R5,2)</f>
        <v>264</v>
      </c>
      <c r="T5" s="171">
        <v>0.02</v>
      </c>
      <c r="U5" s="171">
        <f>ROUND(Q5*T5,2)</f>
        <v>66</v>
      </c>
      <c r="V5" s="171">
        <v>3300</v>
      </c>
      <c r="W5" s="171">
        <v>0.007</v>
      </c>
      <c r="X5" s="171">
        <f>ROUND(V5*W5,2)</f>
        <v>23.1</v>
      </c>
      <c r="Y5" s="171">
        <v>0.003</v>
      </c>
      <c r="Z5" s="171">
        <f>ROUND(V5*Y5,2)</f>
        <v>9.9</v>
      </c>
      <c r="AA5" s="171"/>
      <c r="AB5" s="171"/>
      <c r="AC5" s="171"/>
      <c r="AD5" s="171">
        <v>3300</v>
      </c>
      <c r="AE5" s="171">
        <v>0.004</v>
      </c>
      <c r="AF5" s="171">
        <f>ROUND(AD5*AE5,2)</f>
        <v>13.2</v>
      </c>
      <c r="AG5" s="171">
        <v>3000</v>
      </c>
      <c r="AH5" s="171">
        <v>0.1</v>
      </c>
      <c r="AI5" s="171">
        <f>ROUND(AG5*AH5,2)</f>
        <v>300</v>
      </c>
      <c r="AJ5" s="171">
        <v>0.06</v>
      </c>
      <c r="AK5" s="171">
        <f>ROUND(AG5*AJ5,2)</f>
        <v>180</v>
      </c>
      <c r="AL5" s="204"/>
      <c r="AM5" s="171"/>
      <c r="AN5" s="171"/>
      <c r="AO5" s="171"/>
      <c r="AP5" s="142" t="s">
        <v>146</v>
      </c>
      <c r="AQ5" s="209">
        <v>9</v>
      </c>
      <c r="AR5" s="171"/>
      <c r="AS5" s="210">
        <f>N5+S5+X5+AC5+AF5+AN5+AQ5</f>
        <v>837.3</v>
      </c>
      <c r="AT5" s="210">
        <f>P5+U5+Z5</f>
        <v>339.9</v>
      </c>
      <c r="AU5" s="210">
        <f>AI5</f>
        <v>300</v>
      </c>
      <c r="AV5" s="210">
        <f>AK5</f>
        <v>180</v>
      </c>
      <c r="AW5" s="210">
        <f>AV5+AS5+AT5+AU5</f>
        <v>1657.2</v>
      </c>
      <c r="AX5" s="219">
        <f>AS5+AT5</f>
        <v>1177.2</v>
      </c>
      <c r="AY5" s="219"/>
      <c r="AZ5" s="219">
        <f>AU5+AV5</f>
        <v>480</v>
      </c>
      <c r="BA5" s="219"/>
      <c r="BB5" s="220">
        <v>80</v>
      </c>
      <c r="BC5" s="219">
        <f>AX5+AZ5+BB5</f>
        <v>1737.2</v>
      </c>
      <c r="BD5" s="221"/>
      <c r="BE5" s="238"/>
      <c r="BF5" s="239"/>
      <c r="BG5" s="239"/>
      <c r="BH5" s="240" t="s">
        <v>146</v>
      </c>
    </row>
    <row r="6" s="161" customFormat="1" ht="18" customHeight="1" spans="1:60">
      <c r="A6" s="171">
        <v>2</v>
      </c>
      <c r="B6" s="142" t="s">
        <v>140</v>
      </c>
      <c r="C6" s="131" t="s">
        <v>157</v>
      </c>
      <c r="D6" s="141" t="s">
        <v>142</v>
      </c>
      <c r="E6" s="142" t="s">
        <v>150</v>
      </c>
      <c r="F6" s="143" t="s">
        <v>158</v>
      </c>
      <c r="G6" s="144" t="s">
        <v>159</v>
      </c>
      <c r="H6" s="141" t="s">
        <v>160</v>
      </c>
      <c r="I6" s="141" t="s">
        <v>160</v>
      </c>
      <c r="J6" s="141" t="s">
        <v>169</v>
      </c>
      <c r="K6" s="141" t="s">
        <v>169</v>
      </c>
      <c r="L6" s="171">
        <v>3360.15</v>
      </c>
      <c r="M6" s="171">
        <v>0.16</v>
      </c>
      <c r="N6" s="171">
        <f t="shared" ref="N6:N14" si="0">ROUND(L6*M6,2)</f>
        <v>537.62</v>
      </c>
      <c r="O6" s="171">
        <v>0.08</v>
      </c>
      <c r="P6" s="171">
        <f t="shared" ref="P6:P14" si="1">ROUND(L6*O6,2)</f>
        <v>268.81</v>
      </c>
      <c r="Q6" s="171">
        <v>3053.05</v>
      </c>
      <c r="R6" s="171">
        <v>0.06</v>
      </c>
      <c r="S6" s="171">
        <f t="shared" ref="S6:S14" si="2">ROUND(Q6*R6,2)</f>
        <v>183.18</v>
      </c>
      <c r="T6" s="171">
        <v>0.02</v>
      </c>
      <c r="U6" s="171">
        <f t="shared" ref="U6:U14" si="3">ROUND(Q6*T6,2)</f>
        <v>61.06</v>
      </c>
      <c r="V6" s="171">
        <v>3360.15</v>
      </c>
      <c r="W6" s="171">
        <v>0.007</v>
      </c>
      <c r="X6" s="171">
        <f t="shared" ref="X6:X14" si="4">ROUND(V6*W6,2)</f>
        <v>23.52</v>
      </c>
      <c r="Y6" s="171">
        <v>0.003</v>
      </c>
      <c r="Z6" s="171">
        <f t="shared" ref="Z6:Z14" si="5">ROUND(V6*Y6,2)</f>
        <v>10.08</v>
      </c>
      <c r="AA6" s="171">
        <v>3053.05</v>
      </c>
      <c r="AB6" s="171">
        <v>0.007</v>
      </c>
      <c r="AC6" s="171">
        <f>ROUND(AA6*AB6,2)</f>
        <v>21.37</v>
      </c>
      <c r="AD6" s="171">
        <v>3053.05</v>
      </c>
      <c r="AE6" s="171">
        <v>0.002</v>
      </c>
      <c r="AF6" s="171">
        <f t="shared" ref="AF6:AF14" si="6">ROUND(AD6*AE6,2)</f>
        <v>6.11</v>
      </c>
      <c r="AG6" s="171" t="s">
        <v>161</v>
      </c>
      <c r="AH6" s="171">
        <v>0.05</v>
      </c>
      <c r="AI6" s="171">
        <f t="shared" ref="AI6:AI14" si="7">ROUND(AG6*AH6,2)</f>
        <v>79</v>
      </c>
      <c r="AJ6" s="171">
        <v>0.05</v>
      </c>
      <c r="AK6" s="171">
        <f t="shared" ref="AK6:AK14" si="8">ROUND(AG6*AJ6,2)</f>
        <v>79</v>
      </c>
      <c r="AL6" s="204"/>
      <c r="AM6" s="171"/>
      <c r="AN6" s="171"/>
      <c r="AO6" s="171"/>
      <c r="AP6" s="142"/>
      <c r="AQ6" s="209"/>
      <c r="AR6" s="171"/>
      <c r="AS6" s="210">
        <f t="shared" ref="AS6:AS14" si="9">N6+S6+X6+AC6+AF6+AN6+AQ6</f>
        <v>771.8</v>
      </c>
      <c r="AT6" s="210">
        <f t="shared" ref="AT6:AT14" si="10">P6+U6+Z6</f>
        <v>339.95</v>
      </c>
      <c r="AU6" s="210">
        <f t="shared" ref="AU6:AU14" si="11">AI6</f>
        <v>79</v>
      </c>
      <c r="AV6" s="210">
        <f t="shared" ref="AV6:AV14" si="12">AK6</f>
        <v>79</v>
      </c>
      <c r="AW6" s="210">
        <f t="shared" ref="AW6:AW14" si="13">AV6+AS6+AT6+AU6</f>
        <v>1269.75</v>
      </c>
      <c r="AX6" s="219">
        <f t="shared" ref="AX6:AX14" si="14">AS6+AT6</f>
        <v>1111.75</v>
      </c>
      <c r="AY6" s="219"/>
      <c r="AZ6" s="219">
        <f t="shared" ref="AZ6:AZ14" si="15">AU6+AV6</f>
        <v>158</v>
      </c>
      <c r="BA6" s="219"/>
      <c r="BB6" s="220">
        <v>80</v>
      </c>
      <c r="BC6" s="219">
        <f t="shared" ref="BC6:BC15" si="16">AX6+AZ6+BB6</f>
        <v>1349.75</v>
      </c>
      <c r="BD6" s="221"/>
      <c r="BE6" s="241"/>
      <c r="BF6" s="241"/>
      <c r="BG6" s="241"/>
      <c r="BH6" s="241"/>
    </row>
    <row r="7" s="161" customFormat="1" ht="18" customHeight="1" spans="1:60">
      <c r="A7" s="171"/>
      <c r="B7" s="142" t="s">
        <v>140</v>
      </c>
      <c r="C7" s="131" t="s">
        <v>157</v>
      </c>
      <c r="D7" s="141" t="s">
        <v>142</v>
      </c>
      <c r="E7" s="142" t="s">
        <v>150</v>
      </c>
      <c r="F7" s="143" t="s">
        <v>158</v>
      </c>
      <c r="G7" s="144" t="s">
        <v>159</v>
      </c>
      <c r="H7" s="141" t="s">
        <v>160</v>
      </c>
      <c r="I7" s="141" t="s">
        <v>160</v>
      </c>
      <c r="J7" s="141" t="s">
        <v>170</v>
      </c>
      <c r="K7" s="141" t="s">
        <v>170</v>
      </c>
      <c r="L7" s="171">
        <v>3360.15</v>
      </c>
      <c r="M7" s="171">
        <v>0.16</v>
      </c>
      <c r="N7" s="171">
        <f t="shared" si="0"/>
        <v>537.62</v>
      </c>
      <c r="O7" s="171">
        <v>0.08</v>
      </c>
      <c r="P7" s="171">
        <f t="shared" si="1"/>
        <v>268.81</v>
      </c>
      <c r="Q7" s="171">
        <v>3053.05</v>
      </c>
      <c r="R7" s="171">
        <v>0.06</v>
      </c>
      <c r="S7" s="171">
        <f t="shared" si="2"/>
        <v>183.18</v>
      </c>
      <c r="T7" s="171">
        <v>0.02</v>
      </c>
      <c r="U7" s="171">
        <f t="shared" si="3"/>
        <v>61.06</v>
      </c>
      <c r="V7" s="171">
        <v>3360.15</v>
      </c>
      <c r="W7" s="171">
        <v>0.007</v>
      </c>
      <c r="X7" s="171">
        <f t="shared" si="4"/>
        <v>23.52</v>
      </c>
      <c r="Y7" s="171">
        <v>0.003</v>
      </c>
      <c r="Z7" s="171">
        <f t="shared" si="5"/>
        <v>10.08</v>
      </c>
      <c r="AA7" s="171">
        <v>3053.05</v>
      </c>
      <c r="AB7" s="171">
        <v>0.007</v>
      </c>
      <c r="AC7" s="171">
        <f>ROUND(AA7*AB7,2)</f>
        <v>21.37</v>
      </c>
      <c r="AD7" s="171">
        <v>3053.05</v>
      </c>
      <c r="AE7" s="171">
        <v>0.002</v>
      </c>
      <c r="AF7" s="171">
        <f t="shared" si="6"/>
        <v>6.11</v>
      </c>
      <c r="AG7" s="171" t="s">
        <v>161</v>
      </c>
      <c r="AH7" s="171">
        <v>0.05</v>
      </c>
      <c r="AI7" s="171">
        <f t="shared" si="7"/>
        <v>79</v>
      </c>
      <c r="AJ7" s="171">
        <v>0.05</v>
      </c>
      <c r="AK7" s="171">
        <f t="shared" si="8"/>
        <v>79</v>
      </c>
      <c r="AL7" s="204"/>
      <c r="AM7" s="171"/>
      <c r="AN7" s="171"/>
      <c r="AO7" s="171"/>
      <c r="AP7" s="142"/>
      <c r="AQ7" s="209"/>
      <c r="AR7" s="209"/>
      <c r="AS7" s="210">
        <f t="shared" si="9"/>
        <v>771.8</v>
      </c>
      <c r="AT7" s="210">
        <f t="shared" si="10"/>
        <v>339.95</v>
      </c>
      <c r="AU7" s="210">
        <f t="shared" si="11"/>
        <v>79</v>
      </c>
      <c r="AV7" s="210">
        <f t="shared" si="12"/>
        <v>79</v>
      </c>
      <c r="AW7" s="210">
        <f t="shared" si="13"/>
        <v>1269.75</v>
      </c>
      <c r="AX7" s="219">
        <f t="shared" si="14"/>
        <v>1111.75</v>
      </c>
      <c r="AY7" s="219"/>
      <c r="AZ7" s="219">
        <f t="shared" si="15"/>
        <v>158</v>
      </c>
      <c r="BA7" s="219"/>
      <c r="BB7" s="220">
        <v>80</v>
      </c>
      <c r="BC7" s="219">
        <f t="shared" si="16"/>
        <v>1349.75</v>
      </c>
      <c r="BD7" s="221"/>
      <c r="BE7" s="241"/>
      <c r="BF7" s="241"/>
      <c r="BG7" s="241"/>
      <c r="BH7" s="241"/>
    </row>
    <row r="8" s="161" customFormat="1" ht="18" customHeight="1" spans="1:60">
      <c r="A8" s="171"/>
      <c r="B8" s="142" t="s">
        <v>140</v>
      </c>
      <c r="C8" s="131" t="s">
        <v>157</v>
      </c>
      <c r="D8" s="141" t="s">
        <v>142</v>
      </c>
      <c r="E8" s="142" t="s">
        <v>150</v>
      </c>
      <c r="F8" s="143" t="s">
        <v>158</v>
      </c>
      <c r="G8" s="144" t="s">
        <v>159</v>
      </c>
      <c r="H8" s="141" t="s">
        <v>160</v>
      </c>
      <c r="I8" s="141" t="s">
        <v>160</v>
      </c>
      <c r="J8" s="141" t="s">
        <v>171</v>
      </c>
      <c r="K8" s="141" t="s">
        <v>171</v>
      </c>
      <c r="L8" s="171">
        <v>3360.15</v>
      </c>
      <c r="M8" s="171">
        <v>0.16</v>
      </c>
      <c r="N8" s="171">
        <f t="shared" si="0"/>
        <v>537.62</v>
      </c>
      <c r="O8" s="171">
        <v>0.08</v>
      </c>
      <c r="P8" s="171">
        <f t="shared" si="1"/>
        <v>268.81</v>
      </c>
      <c r="Q8" s="171">
        <v>3053.05</v>
      </c>
      <c r="R8" s="171">
        <v>0.06</v>
      </c>
      <c r="S8" s="171">
        <f t="shared" si="2"/>
        <v>183.18</v>
      </c>
      <c r="T8" s="171">
        <v>0.02</v>
      </c>
      <c r="U8" s="171">
        <f t="shared" si="3"/>
        <v>61.06</v>
      </c>
      <c r="V8" s="171">
        <v>3360.15</v>
      </c>
      <c r="W8" s="171">
        <v>0.007</v>
      </c>
      <c r="X8" s="171">
        <f t="shared" si="4"/>
        <v>23.52</v>
      </c>
      <c r="Y8" s="171">
        <v>0.003</v>
      </c>
      <c r="Z8" s="171">
        <f t="shared" si="5"/>
        <v>10.08</v>
      </c>
      <c r="AA8" s="171">
        <v>3053.05</v>
      </c>
      <c r="AB8" s="171">
        <v>0.007</v>
      </c>
      <c r="AC8" s="171">
        <f>ROUND(AA8*AB8,2)</f>
        <v>21.37</v>
      </c>
      <c r="AD8" s="171">
        <v>3053.05</v>
      </c>
      <c r="AE8" s="171">
        <v>0.002</v>
      </c>
      <c r="AF8" s="171">
        <f t="shared" si="6"/>
        <v>6.11</v>
      </c>
      <c r="AG8" s="171" t="s">
        <v>161</v>
      </c>
      <c r="AH8" s="171">
        <v>0.05</v>
      </c>
      <c r="AI8" s="171">
        <f t="shared" si="7"/>
        <v>79</v>
      </c>
      <c r="AJ8" s="171">
        <v>0.05</v>
      </c>
      <c r="AK8" s="171">
        <f t="shared" si="8"/>
        <v>79</v>
      </c>
      <c r="AL8" s="204"/>
      <c r="AM8" s="171"/>
      <c r="AN8" s="171"/>
      <c r="AO8" s="171"/>
      <c r="AP8" s="142"/>
      <c r="AQ8" s="209"/>
      <c r="AR8" s="209"/>
      <c r="AS8" s="210">
        <f t="shared" si="9"/>
        <v>771.8</v>
      </c>
      <c r="AT8" s="210">
        <f t="shared" si="10"/>
        <v>339.95</v>
      </c>
      <c r="AU8" s="210">
        <f t="shared" si="11"/>
        <v>79</v>
      </c>
      <c r="AV8" s="210">
        <f t="shared" si="12"/>
        <v>79</v>
      </c>
      <c r="AW8" s="210">
        <f t="shared" si="13"/>
        <v>1269.75</v>
      </c>
      <c r="AX8" s="219">
        <f t="shared" si="14"/>
        <v>1111.75</v>
      </c>
      <c r="AY8" s="219"/>
      <c r="AZ8" s="219">
        <f t="shared" si="15"/>
        <v>158</v>
      </c>
      <c r="BA8" s="219"/>
      <c r="BB8" s="220">
        <v>80</v>
      </c>
      <c r="BC8" s="219">
        <f t="shared" si="16"/>
        <v>1349.75</v>
      </c>
      <c r="BD8" s="221"/>
      <c r="BE8" s="241"/>
      <c r="BF8" s="241"/>
      <c r="BG8" s="241"/>
      <c r="BH8" s="241"/>
    </row>
    <row r="9" s="161" customFormat="1" ht="18" customHeight="1" spans="1:60">
      <c r="A9" s="171">
        <v>3</v>
      </c>
      <c r="B9" s="142" t="s">
        <v>140</v>
      </c>
      <c r="C9" s="131" t="s">
        <v>172</v>
      </c>
      <c r="D9" s="141" t="s">
        <v>142</v>
      </c>
      <c r="E9" s="142" t="s">
        <v>150</v>
      </c>
      <c r="F9" s="143" t="s">
        <v>164</v>
      </c>
      <c r="G9" s="144" t="s">
        <v>165</v>
      </c>
      <c r="H9" s="141" t="s">
        <v>173</v>
      </c>
      <c r="I9" s="141" t="s">
        <v>173</v>
      </c>
      <c r="J9" s="141" t="s">
        <v>166</v>
      </c>
      <c r="K9" s="141" t="s">
        <v>166</v>
      </c>
      <c r="L9" s="171">
        <v>4000</v>
      </c>
      <c r="M9" s="171">
        <v>0.16</v>
      </c>
      <c r="N9" s="171">
        <f t="shared" si="0"/>
        <v>640</v>
      </c>
      <c r="O9" s="171">
        <v>0.08</v>
      </c>
      <c r="P9" s="171">
        <f t="shared" si="1"/>
        <v>320</v>
      </c>
      <c r="Q9" s="171">
        <v>4000</v>
      </c>
      <c r="R9" s="171">
        <v>0.087</v>
      </c>
      <c r="S9" s="171">
        <f t="shared" si="2"/>
        <v>348</v>
      </c>
      <c r="T9" s="171">
        <v>0.02</v>
      </c>
      <c r="U9" s="171">
        <f t="shared" si="3"/>
        <v>80</v>
      </c>
      <c r="V9" s="171">
        <v>4000</v>
      </c>
      <c r="W9" s="171">
        <v>0.007</v>
      </c>
      <c r="X9" s="171">
        <f t="shared" si="4"/>
        <v>28</v>
      </c>
      <c r="Y9" s="171">
        <v>0.003</v>
      </c>
      <c r="Z9" s="171">
        <f t="shared" si="5"/>
        <v>12</v>
      </c>
      <c r="AA9" s="171"/>
      <c r="AB9" s="171"/>
      <c r="AC9" s="171"/>
      <c r="AD9" s="171">
        <v>4000</v>
      </c>
      <c r="AE9" s="171">
        <v>0.0056</v>
      </c>
      <c r="AF9" s="171">
        <f t="shared" si="6"/>
        <v>22.4</v>
      </c>
      <c r="AG9" s="171">
        <v>4000</v>
      </c>
      <c r="AH9" s="171">
        <v>0.05</v>
      </c>
      <c r="AI9" s="171">
        <f t="shared" si="7"/>
        <v>200</v>
      </c>
      <c r="AJ9" s="171">
        <v>0.05</v>
      </c>
      <c r="AK9" s="171">
        <f t="shared" si="8"/>
        <v>200</v>
      </c>
      <c r="AL9" s="204"/>
      <c r="AM9" s="171"/>
      <c r="AN9" s="171"/>
      <c r="AO9" s="171"/>
      <c r="AP9" s="142"/>
      <c r="AQ9" s="209"/>
      <c r="AR9" s="209"/>
      <c r="AS9" s="210">
        <f t="shared" si="9"/>
        <v>1038.4</v>
      </c>
      <c r="AT9" s="210">
        <f t="shared" si="10"/>
        <v>412</v>
      </c>
      <c r="AU9" s="210">
        <f t="shared" si="11"/>
        <v>200</v>
      </c>
      <c r="AV9" s="210">
        <f t="shared" si="12"/>
        <v>200</v>
      </c>
      <c r="AW9" s="210">
        <f t="shared" si="13"/>
        <v>1850.4</v>
      </c>
      <c r="AX9" s="219">
        <f t="shared" si="14"/>
        <v>1450.4</v>
      </c>
      <c r="AY9" s="219"/>
      <c r="AZ9" s="219">
        <f t="shared" si="15"/>
        <v>400</v>
      </c>
      <c r="BA9" s="219"/>
      <c r="BB9" s="220">
        <v>80</v>
      </c>
      <c r="BC9" s="219">
        <f t="shared" si="16"/>
        <v>1930.4</v>
      </c>
      <c r="BD9" s="221"/>
      <c r="BE9" s="241"/>
      <c r="BF9" s="241"/>
      <c r="BG9" s="241"/>
      <c r="BH9" s="241"/>
    </row>
    <row r="10" s="161" customFormat="1" ht="18" customHeight="1" spans="1:60">
      <c r="A10" s="171"/>
      <c r="B10" s="142" t="s">
        <v>140</v>
      </c>
      <c r="C10" s="131" t="s">
        <v>172</v>
      </c>
      <c r="D10" s="141" t="s">
        <v>142</v>
      </c>
      <c r="E10" s="142" t="s">
        <v>150</v>
      </c>
      <c r="F10" s="143" t="s">
        <v>164</v>
      </c>
      <c r="G10" s="144" t="s">
        <v>165</v>
      </c>
      <c r="H10" s="141" t="s">
        <v>173</v>
      </c>
      <c r="I10" s="141" t="s">
        <v>173</v>
      </c>
      <c r="J10" s="141" t="s">
        <v>167</v>
      </c>
      <c r="K10" s="141" t="s">
        <v>167</v>
      </c>
      <c r="L10" s="171">
        <v>4000</v>
      </c>
      <c r="M10" s="171">
        <v>0.16</v>
      </c>
      <c r="N10" s="171">
        <f t="shared" si="0"/>
        <v>640</v>
      </c>
      <c r="O10" s="171">
        <v>0.08</v>
      </c>
      <c r="P10" s="171">
        <f t="shared" si="1"/>
        <v>320</v>
      </c>
      <c r="Q10" s="171">
        <v>4000</v>
      </c>
      <c r="R10" s="171">
        <v>0.087</v>
      </c>
      <c r="S10" s="171">
        <f t="shared" si="2"/>
        <v>348</v>
      </c>
      <c r="T10" s="171">
        <v>0.02</v>
      </c>
      <c r="U10" s="171">
        <f t="shared" si="3"/>
        <v>80</v>
      </c>
      <c r="V10" s="171">
        <v>4000</v>
      </c>
      <c r="W10" s="171">
        <v>0.007</v>
      </c>
      <c r="X10" s="171">
        <f t="shared" si="4"/>
        <v>28</v>
      </c>
      <c r="Y10" s="171">
        <v>0.003</v>
      </c>
      <c r="Z10" s="171">
        <f t="shared" si="5"/>
        <v>12</v>
      </c>
      <c r="AA10" s="171"/>
      <c r="AB10" s="171"/>
      <c r="AC10" s="171"/>
      <c r="AD10" s="171">
        <v>4000</v>
      </c>
      <c r="AE10" s="171">
        <v>0.0056</v>
      </c>
      <c r="AF10" s="171">
        <f t="shared" si="6"/>
        <v>22.4</v>
      </c>
      <c r="AG10" s="171">
        <v>4000</v>
      </c>
      <c r="AH10" s="171">
        <v>0.05</v>
      </c>
      <c r="AI10" s="171">
        <f t="shared" si="7"/>
        <v>200</v>
      </c>
      <c r="AJ10" s="171">
        <v>0.05</v>
      </c>
      <c r="AK10" s="171">
        <f t="shared" si="8"/>
        <v>200</v>
      </c>
      <c r="AL10" s="204"/>
      <c r="AM10" s="171"/>
      <c r="AN10" s="171"/>
      <c r="AO10" s="171"/>
      <c r="AP10" s="142"/>
      <c r="AQ10" s="209"/>
      <c r="AR10" s="209"/>
      <c r="AS10" s="210">
        <f t="shared" si="9"/>
        <v>1038.4</v>
      </c>
      <c r="AT10" s="210">
        <f t="shared" si="10"/>
        <v>412</v>
      </c>
      <c r="AU10" s="210">
        <f t="shared" si="11"/>
        <v>200</v>
      </c>
      <c r="AV10" s="210">
        <f t="shared" si="12"/>
        <v>200</v>
      </c>
      <c r="AW10" s="210">
        <f t="shared" si="13"/>
        <v>1850.4</v>
      </c>
      <c r="AX10" s="219">
        <f t="shared" si="14"/>
        <v>1450.4</v>
      </c>
      <c r="AY10" s="219"/>
      <c r="AZ10" s="219">
        <f t="shared" si="15"/>
        <v>400</v>
      </c>
      <c r="BA10" s="219"/>
      <c r="BB10" s="220">
        <v>80</v>
      </c>
      <c r="BC10" s="219">
        <f t="shared" si="16"/>
        <v>1930.4</v>
      </c>
      <c r="BD10" s="221"/>
      <c r="BE10" s="241"/>
      <c r="BF10" s="241"/>
      <c r="BG10" s="241"/>
      <c r="BH10" s="241"/>
    </row>
    <row r="11" s="161" customFormat="1" ht="18" customHeight="1" spans="1:60">
      <c r="A11" s="171"/>
      <c r="B11" s="142" t="s">
        <v>140</v>
      </c>
      <c r="C11" s="131" t="s">
        <v>172</v>
      </c>
      <c r="D11" s="141" t="s">
        <v>142</v>
      </c>
      <c r="E11" s="142" t="s">
        <v>150</v>
      </c>
      <c r="F11" s="143" t="s">
        <v>164</v>
      </c>
      <c r="G11" s="144" t="s">
        <v>165</v>
      </c>
      <c r="H11" s="141" t="s">
        <v>173</v>
      </c>
      <c r="I11" s="141" t="s">
        <v>173</v>
      </c>
      <c r="J11" s="141" t="s">
        <v>168</v>
      </c>
      <c r="K11" s="141" t="s">
        <v>168</v>
      </c>
      <c r="L11" s="171">
        <v>4000</v>
      </c>
      <c r="M11" s="171">
        <v>0.16</v>
      </c>
      <c r="N11" s="171">
        <f t="shared" si="0"/>
        <v>640</v>
      </c>
      <c r="O11" s="171">
        <v>0.08</v>
      </c>
      <c r="P11" s="171">
        <f t="shared" si="1"/>
        <v>320</v>
      </c>
      <c r="Q11" s="171">
        <v>4000</v>
      </c>
      <c r="R11" s="171">
        <v>0.087</v>
      </c>
      <c r="S11" s="171">
        <f t="shared" si="2"/>
        <v>348</v>
      </c>
      <c r="T11" s="171">
        <v>0.02</v>
      </c>
      <c r="U11" s="171">
        <f t="shared" si="3"/>
        <v>80</v>
      </c>
      <c r="V11" s="171">
        <v>4000</v>
      </c>
      <c r="W11" s="171">
        <v>0.007</v>
      </c>
      <c r="X11" s="171">
        <f t="shared" si="4"/>
        <v>28</v>
      </c>
      <c r="Y11" s="171">
        <v>0.003</v>
      </c>
      <c r="Z11" s="171">
        <f t="shared" si="5"/>
        <v>12</v>
      </c>
      <c r="AA11" s="171"/>
      <c r="AB11" s="171"/>
      <c r="AC11" s="171"/>
      <c r="AD11" s="171">
        <v>4000</v>
      </c>
      <c r="AE11" s="171">
        <v>0.0056</v>
      </c>
      <c r="AF11" s="171">
        <f t="shared" si="6"/>
        <v>22.4</v>
      </c>
      <c r="AG11" s="171">
        <v>4000</v>
      </c>
      <c r="AH11" s="171">
        <v>0.05</v>
      </c>
      <c r="AI11" s="171">
        <f t="shared" si="7"/>
        <v>200</v>
      </c>
      <c r="AJ11" s="171">
        <v>0.05</v>
      </c>
      <c r="AK11" s="171">
        <f t="shared" si="8"/>
        <v>200</v>
      </c>
      <c r="AL11" s="204"/>
      <c r="AM11" s="171"/>
      <c r="AN11" s="171"/>
      <c r="AO11" s="171"/>
      <c r="AP11" s="142"/>
      <c r="AQ11" s="209"/>
      <c r="AR11" s="209"/>
      <c r="AS11" s="210">
        <f t="shared" si="9"/>
        <v>1038.4</v>
      </c>
      <c r="AT11" s="210">
        <f t="shared" si="10"/>
        <v>412</v>
      </c>
      <c r="AU11" s="210">
        <f t="shared" si="11"/>
        <v>200</v>
      </c>
      <c r="AV11" s="210">
        <f t="shared" si="12"/>
        <v>200</v>
      </c>
      <c r="AW11" s="210">
        <f t="shared" si="13"/>
        <v>1850.4</v>
      </c>
      <c r="AX11" s="219">
        <f t="shared" si="14"/>
        <v>1450.4</v>
      </c>
      <c r="AY11" s="219"/>
      <c r="AZ11" s="219">
        <f t="shared" si="15"/>
        <v>400</v>
      </c>
      <c r="BA11" s="219"/>
      <c r="BB11" s="220">
        <v>80</v>
      </c>
      <c r="BC11" s="219">
        <f t="shared" si="16"/>
        <v>1930.4</v>
      </c>
      <c r="BD11" s="221"/>
      <c r="BE11" s="241"/>
      <c r="BF11" s="241"/>
      <c r="BG11" s="241"/>
      <c r="BH11" s="241"/>
    </row>
    <row r="12" s="161" customFormat="1" ht="18" customHeight="1" spans="1:60">
      <c r="A12" s="172"/>
      <c r="B12" s="173"/>
      <c r="C12" s="174" t="s">
        <v>149</v>
      </c>
      <c r="D12" s="175"/>
      <c r="E12" s="176"/>
      <c r="F12" s="177" t="s">
        <v>174</v>
      </c>
      <c r="G12" s="178" t="s">
        <v>175</v>
      </c>
      <c r="H12" s="175"/>
      <c r="I12" s="175"/>
      <c r="J12" s="175"/>
      <c r="K12" s="175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205"/>
      <c r="AM12" s="198"/>
      <c r="AN12" s="198"/>
      <c r="AO12" s="198"/>
      <c r="AP12" s="176"/>
      <c r="AQ12" s="211"/>
      <c r="AR12" s="211"/>
      <c r="AS12" s="212"/>
      <c r="AT12" s="212"/>
      <c r="AU12" s="212"/>
      <c r="AV12" s="212"/>
      <c r="AW12" s="212"/>
      <c r="AX12" s="222"/>
      <c r="AY12" s="223"/>
      <c r="AZ12" s="222"/>
      <c r="BA12" s="223"/>
      <c r="BB12" s="224">
        <v>240</v>
      </c>
      <c r="BC12" s="225">
        <f t="shared" ref="BC12:BC19" si="17">AX12+AZ12+BB12</f>
        <v>240</v>
      </c>
      <c r="BD12" s="221" t="s">
        <v>176</v>
      </c>
      <c r="BE12" s="241"/>
      <c r="BF12" s="241"/>
      <c r="BG12" s="241"/>
      <c r="BH12" s="241"/>
    </row>
    <row r="13" s="161" customFormat="1" ht="18" customHeight="1" spans="1:60">
      <c r="A13" s="171" t="s">
        <v>152</v>
      </c>
      <c r="B13" s="142" t="s">
        <v>140</v>
      </c>
      <c r="C13" s="131" t="s">
        <v>157</v>
      </c>
      <c r="D13" s="141" t="s">
        <v>142</v>
      </c>
      <c r="E13" s="142" t="s">
        <v>150</v>
      </c>
      <c r="F13" s="143" t="s">
        <v>158</v>
      </c>
      <c r="G13" s="144" t="s">
        <v>159</v>
      </c>
      <c r="H13" s="141" t="s">
        <v>160</v>
      </c>
      <c r="I13" s="141" t="s">
        <v>160</v>
      </c>
      <c r="J13" s="141" t="s">
        <v>177</v>
      </c>
      <c r="K13" s="141" t="s">
        <v>177</v>
      </c>
      <c r="L13" s="171">
        <f>3360.15-3053.05</f>
        <v>307.1</v>
      </c>
      <c r="M13" s="171">
        <v>0.16</v>
      </c>
      <c r="N13" s="171">
        <f t="shared" ref="N13:N17" si="18">ROUND(L13*M13,2)</f>
        <v>49.14</v>
      </c>
      <c r="O13" s="171">
        <v>0.08</v>
      </c>
      <c r="P13" s="171">
        <f t="shared" ref="P13:P17" si="19">ROUND(L13*O13,2)</f>
        <v>24.57</v>
      </c>
      <c r="Q13" s="171"/>
      <c r="R13" s="171"/>
      <c r="S13" s="171"/>
      <c r="T13" s="171"/>
      <c r="U13" s="171"/>
      <c r="V13" s="171">
        <f t="shared" ref="V13:V16" si="20">3360.15-3053.05</f>
        <v>307.1</v>
      </c>
      <c r="W13" s="171">
        <v>0.007</v>
      </c>
      <c r="X13" s="171">
        <f t="shared" ref="X13:X17" si="21">ROUND(V13*W13,2)</f>
        <v>2.15</v>
      </c>
      <c r="Y13" s="171">
        <v>0.003</v>
      </c>
      <c r="Z13" s="171">
        <f t="shared" ref="Z13:Z17" si="22">ROUND(V13*Y13,2)</f>
        <v>0.92</v>
      </c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204"/>
      <c r="AM13" s="171"/>
      <c r="AN13" s="171"/>
      <c r="AO13" s="171"/>
      <c r="AP13" s="142"/>
      <c r="AQ13" s="209"/>
      <c r="AR13" s="171"/>
      <c r="AS13" s="210">
        <f t="shared" ref="AS13:AS19" si="23">N13+S13+X13+AC13+AF13+AN13+AQ13</f>
        <v>51.29</v>
      </c>
      <c r="AT13" s="210">
        <f t="shared" ref="AT13:AT19" si="24">P13+U13+Z13</f>
        <v>25.49</v>
      </c>
      <c r="AU13" s="210">
        <f t="shared" ref="AU13:AU19" si="25">AI13</f>
        <v>0</v>
      </c>
      <c r="AV13" s="210">
        <f t="shared" ref="AV13:AV19" si="26">AK13</f>
        <v>0</v>
      </c>
      <c r="AW13" s="210">
        <f t="shared" ref="AW13:AW19" si="27">AV13+AS13+AT13+AU13</f>
        <v>76.78</v>
      </c>
      <c r="AX13" s="219">
        <f t="shared" ref="AX13:AX19" si="28">AS13+AT13</f>
        <v>76.78</v>
      </c>
      <c r="AY13" s="219"/>
      <c r="AZ13" s="219">
        <f t="shared" ref="AZ13:AZ19" si="29">AU13+AV13</f>
        <v>0</v>
      </c>
      <c r="BA13" s="219"/>
      <c r="BB13" s="220"/>
      <c r="BC13" s="219">
        <f t="shared" si="17"/>
        <v>76.78</v>
      </c>
      <c r="BD13" s="221" t="s">
        <v>178</v>
      </c>
      <c r="BE13" s="241"/>
      <c r="BF13" s="241"/>
      <c r="BG13" s="241"/>
      <c r="BH13" s="241"/>
    </row>
    <row r="14" s="161" customFormat="1" ht="18" customHeight="1" spans="1:60">
      <c r="A14" s="171" t="s">
        <v>152</v>
      </c>
      <c r="B14" s="142" t="s">
        <v>140</v>
      </c>
      <c r="C14" s="131" t="s">
        <v>157</v>
      </c>
      <c r="D14" s="141" t="s">
        <v>142</v>
      </c>
      <c r="E14" s="142" t="s">
        <v>150</v>
      </c>
      <c r="F14" s="143" t="s">
        <v>158</v>
      </c>
      <c r="G14" s="144" t="s">
        <v>159</v>
      </c>
      <c r="H14" s="141" t="s">
        <v>160</v>
      </c>
      <c r="I14" s="141" t="s">
        <v>160</v>
      </c>
      <c r="J14" s="141" t="s">
        <v>179</v>
      </c>
      <c r="K14" s="141" t="s">
        <v>179</v>
      </c>
      <c r="L14" s="171">
        <f>3360.15-3053.05</f>
        <v>307.1</v>
      </c>
      <c r="M14" s="171">
        <v>0.16</v>
      </c>
      <c r="N14" s="171">
        <f t="shared" si="18"/>
        <v>49.14</v>
      </c>
      <c r="O14" s="171">
        <v>0.08</v>
      </c>
      <c r="P14" s="171">
        <f t="shared" si="19"/>
        <v>24.57</v>
      </c>
      <c r="Q14" s="171"/>
      <c r="R14" s="171"/>
      <c r="S14" s="171"/>
      <c r="T14" s="171"/>
      <c r="U14" s="171"/>
      <c r="V14" s="171">
        <f t="shared" si="20"/>
        <v>307.1</v>
      </c>
      <c r="W14" s="171">
        <v>0.007</v>
      </c>
      <c r="X14" s="171">
        <f t="shared" si="21"/>
        <v>2.15</v>
      </c>
      <c r="Y14" s="171">
        <v>0.003</v>
      </c>
      <c r="Z14" s="171">
        <f t="shared" si="22"/>
        <v>0.92</v>
      </c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204"/>
      <c r="AM14" s="171"/>
      <c r="AN14" s="171"/>
      <c r="AO14" s="171"/>
      <c r="AP14" s="142"/>
      <c r="AQ14" s="209"/>
      <c r="AR14" s="171"/>
      <c r="AS14" s="210">
        <f t="shared" si="23"/>
        <v>51.29</v>
      </c>
      <c r="AT14" s="210">
        <f t="shared" si="24"/>
        <v>25.49</v>
      </c>
      <c r="AU14" s="210">
        <f t="shared" si="25"/>
        <v>0</v>
      </c>
      <c r="AV14" s="210">
        <f t="shared" si="26"/>
        <v>0</v>
      </c>
      <c r="AW14" s="210">
        <f t="shared" si="27"/>
        <v>76.78</v>
      </c>
      <c r="AX14" s="219">
        <f t="shared" si="28"/>
        <v>76.78</v>
      </c>
      <c r="AY14" s="219"/>
      <c r="AZ14" s="219">
        <f t="shared" si="29"/>
        <v>0</v>
      </c>
      <c r="BA14" s="219"/>
      <c r="BB14" s="220"/>
      <c r="BC14" s="219">
        <f t="shared" si="17"/>
        <v>76.78</v>
      </c>
      <c r="BD14" s="221" t="s">
        <v>178</v>
      </c>
      <c r="BE14" s="241"/>
      <c r="BF14" s="241"/>
      <c r="BG14" s="241"/>
      <c r="BH14" s="241"/>
    </row>
    <row r="15" s="161" customFormat="1" ht="18" customHeight="1" spans="1:60">
      <c r="A15" s="171" t="s">
        <v>152</v>
      </c>
      <c r="B15" s="142" t="s">
        <v>140</v>
      </c>
      <c r="C15" s="131" t="s">
        <v>157</v>
      </c>
      <c r="D15" s="141" t="s">
        <v>142</v>
      </c>
      <c r="E15" s="142" t="s">
        <v>150</v>
      </c>
      <c r="F15" s="143" t="s">
        <v>158</v>
      </c>
      <c r="G15" s="144" t="s">
        <v>159</v>
      </c>
      <c r="H15" s="141" t="s">
        <v>160</v>
      </c>
      <c r="I15" s="141" t="s">
        <v>160</v>
      </c>
      <c r="J15" s="141" t="s">
        <v>180</v>
      </c>
      <c r="K15" s="141" t="s">
        <v>180</v>
      </c>
      <c r="L15" s="171">
        <f>3360.15-3053.05</f>
        <v>307.1</v>
      </c>
      <c r="M15" s="171">
        <v>0.16</v>
      </c>
      <c r="N15" s="171">
        <f t="shared" si="18"/>
        <v>49.14</v>
      </c>
      <c r="O15" s="171">
        <v>0.08</v>
      </c>
      <c r="P15" s="171">
        <f t="shared" si="19"/>
        <v>24.57</v>
      </c>
      <c r="Q15" s="171"/>
      <c r="R15" s="171"/>
      <c r="S15" s="171"/>
      <c r="T15" s="171"/>
      <c r="U15" s="171"/>
      <c r="V15" s="171">
        <f t="shared" si="20"/>
        <v>307.1</v>
      </c>
      <c r="W15" s="171">
        <v>0.007</v>
      </c>
      <c r="X15" s="171">
        <f t="shared" si="21"/>
        <v>2.15</v>
      </c>
      <c r="Y15" s="171">
        <v>0.003</v>
      </c>
      <c r="Z15" s="171">
        <f t="shared" si="22"/>
        <v>0.92</v>
      </c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204"/>
      <c r="AM15" s="171"/>
      <c r="AN15" s="171"/>
      <c r="AO15" s="171"/>
      <c r="AP15" s="142"/>
      <c r="AQ15" s="209"/>
      <c r="AR15" s="171"/>
      <c r="AS15" s="210">
        <f t="shared" si="23"/>
        <v>51.29</v>
      </c>
      <c r="AT15" s="210">
        <f t="shared" si="24"/>
        <v>25.49</v>
      </c>
      <c r="AU15" s="210">
        <f t="shared" si="25"/>
        <v>0</v>
      </c>
      <c r="AV15" s="210">
        <f t="shared" si="26"/>
        <v>0</v>
      </c>
      <c r="AW15" s="210">
        <f t="shared" si="27"/>
        <v>76.78</v>
      </c>
      <c r="AX15" s="219">
        <f t="shared" si="28"/>
        <v>76.78</v>
      </c>
      <c r="AY15" s="219"/>
      <c r="AZ15" s="219">
        <f t="shared" si="29"/>
        <v>0</v>
      </c>
      <c r="BA15" s="219"/>
      <c r="BB15" s="220"/>
      <c r="BC15" s="219">
        <f t="shared" si="17"/>
        <v>76.78</v>
      </c>
      <c r="BD15" s="221" t="s">
        <v>178</v>
      </c>
      <c r="BE15" s="241"/>
      <c r="BF15" s="241"/>
      <c r="BG15" s="241"/>
      <c r="BH15" s="241"/>
    </row>
    <row r="16" s="161" customFormat="1" ht="18" customHeight="1" spans="1:60">
      <c r="A16" s="171" t="s">
        <v>152</v>
      </c>
      <c r="B16" s="142" t="s">
        <v>140</v>
      </c>
      <c r="C16" s="131" t="s">
        <v>157</v>
      </c>
      <c r="D16" s="141" t="s">
        <v>142</v>
      </c>
      <c r="E16" s="142" t="s">
        <v>150</v>
      </c>
      <c r="F16" s="143" t="s">
        <v>158</v>
      </c>
      <c r="G16" s="144" t="s">
        <v>159</v>
      </c>
      <c r="H16" s="141" t="s">
        <v>160</v>
      </c>
      <c r="I16" s="141" t="s">
        <v>160</v>
      </c>
      <c r="J16" s="141" t="s">
        <v>166</v>
      </c>
      <c r="K16" s="141" t="s">
        <v>166</v>
      </c>
      <c r="L16" s="171">
        <f>3360.15-3053.05</f>
        <v>307.1</v>
      </c>
      <c r="M16" s="171">
        <v>0.16</v>
      </c>
      <c r="N16" s="171">
        <f t="shared" si="18"/>
        <v>49.14</v>
      </c>
      <c r="O16" s="171">
        <v>0.08</v>
      </c>
      <c r="P16" s="171">
        <f t="shared" si="19"/>
        <v>24.57</v>
      </c>
      <c r="Q16" s="171"/>
      <c r="R16" s="171"/>
      <c r="S16" s="171"/>
      <c r="T16" s="171"/>
      <c r="U16" s="171"/>
      <c r="V16" s="171">
        <f t="shared" si="20"/>
        <v>307.1</v>
      </c>
      <c r="W16" s="171">
        <v>0.007</v>
      </c>
      <c r="X16" s="171">
        <f t="shared" si="21"/>
        <v>2.15</v>
      </c>
      <c r="Y16" s="171">
        <v>0.003</v>
      </c>
      <c r="Z16" s="171">
        <f t="shared" si="22"/>
        <v>0.92</v>
      </c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204"/>
      <c r="AM16" s="171"/>
      <c r="AN16" s="171"/>
      <c r="AO16" s="171"/>
      <c r="AP16" s="142"/>
      <c r="AQ16" s="209"/>
      <c r="AR16" s="171"/>
      <c r="AS16" s="210">
        <f t="shared" si="23"/>
        <v>51.29</v>
      </c>
      <c r="AT16" s="210">
        <f t="shared" si="24"/>
        <v>25.49</v>
      </c>
      <c r="AU16" s="210">
        <f t="shared" si="25"/>
        <v>0</v>
      </c>
      <c r="AV16" s="210">
        <f t="shared" si="26"/>
        <v>0</v>
      </c>
      <c r="AW16" s="210">
        <f t="shared" si="27"/>
        <v>76.78</v>
      </c>
      <c r="AX16" s="219">
        <f t="shared" si="28"/>
        <v>76.78</v>
      </c>
      <c r="AY16" s="219"/>
      <c r="AZ16" s="219">
        <f t="shared" si="29"/>
        <v>0</v>
      </c>
      <c r="BA16" s="219"/>
      <c r="BB16" s="220"/>
      <c r="BC16" s="219">
        <f t="shared" si="17"/>
        <v>76.78</v>
      </c>
      <c r="BD16" s="221" t="s">
        <v>178</v>
      </c>
      <c r="BE16" s="241"/>
      <c r="BF16" s="241"/>
      <c r="BG16" s="241"/>
      <c r="BH16" s="241"/>
    </row>
    <row r="17" s="161" customFormat="1" ht="18" customHeight="1" spans="1:60">
      <c r="A17" s="171" t="s">
        <v>152</v>
      </c>
      <c r="B17" s="142" t="s">
        <v>140</v>
      </c>
      <c r="C17" s="131" t="s">
        <v>141</v>
      </c>
      <c r="D17" s="141" t="s">
        <v>142</v>
      </c>
      <c r="E17" s="142" t="s">
        <v>143</v>
      </c>
      <c r="F17" s="143" t="s">
        <v>51</v>
      </c>
      <c r="G17" s="144" t="s">
        <v>53</v>
      </c>
      <c r="H17" s="141" t="s">
        <v>144</v>
      </c>
      <c r="I17" s="141" t="s">
        <v>144</v>
      </c>
      <c r="J17" s="141" t="s">
        <v>177</v>
      </c>
      <c r="K17" s="141" t="s">
        <v>177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>
        <v>3300</v>
      </c>
      <c r="AE17" s="171">
        <f>0.004-0.002</f>
        <v>0.002</v>
      </c>
      <c r="AF17" s="171">
        <f>ROUND(AD17*AE17,2)</f>
        <v>6.6</v>
      </c>
      <c r="AG17" s="171"/>
      <c r="AH17" s="171"/>
      <c r="AI17" s="171"/>
      <c r="AJ17" s="171"/>
      <c r="AK17" s="171"/>
      <c r="AL17" s="204"/>
      <c r="AM17" s="171"/>
      <c r="AN17" s="171"/>
      <c r="AO17" s="171"/>
      <c r="AP17" s="142" t="s">
        <v>146</v>
      </c>
      <c r="AQ17" s="209">
        <v>4</v>
      </c>
      <c r="AR17" s="171"/>
      <c r="AS17" s="210">
        <f t="shared" si="23"/>
        <v>10.6</v>
      </c>
      <c r="AT17" s="210">
        <f t="shared" si="24"/>
        <v>0</v>
      </c>
      <c r="AU17" s="210">
        <f t="shared" si="25"/>
        <v>0</v>
      </c>
      <c r="AV17" s="210">
        <f t="shared" si="26"/>
        <v>0</v>
      </c>
      <c r="AW17" s="210">
        <f t="shared" si="27"/>
        <v>10.6</v>
      </c>
      <c r="AX17" s="219">
        <f t="shared" si="28"/>
        <v>10.6</v>
      </c>
      <c r="AY17" s="219"/>
      <c r="AZ17" s="219">
        <f t="shared" si="29"/>
        <v>0</v>
      </c>
      <c r="BA17" s="219"/>
      <c r="BB17" s="220"/>
      <c r="BC17" s="219">
        <f t="shared" si="17"/>
        <v>10.6</v>
      </c>
      <c r="BD17" s="221" t="s">
        <v>181</v>
      </c>
      <c r="BE17" s="238"/>
      <c r="BF17" s="239"/>
      <c r="BG17" s="239"/>
      <c r="BH17" s="240" t="s">
        <v>146</v>
      </c>
    </row>
    <row r="18" s="161" customFormat="1" ht="18" customHeight="1" spans="1:60">
      <c r="A18" s="171" t="s">
        <v>152</v>
      </c>
      <c r="B18" s="142" t="s">
        <v>140</v>
      </c>
      <c r="C18" s="131" t="s">
        <v>141</v>
      </c>
      <c r="D18" s="141" t="s">
        <v>142</v>
      </c>
      <c r="E18" s="142" t="s">
        <v>143</v>
      </c>
      <c r="F18" s="143" t="s">
        <v>51</v>
      </c>
      <c r="G18" s="144" t="s">
        <v>53</v>
      </c>
      <c r="H18" s="141" t="s">
        <v>144</v>
      </c>
      <c r="I18" s="141" t="s">
        <v>144</v>
      </c>
      <c r="J18" s="141" t="s">
        <v>179</v>
      </c>
      <c r="K18" s="141" t="s">
        <v>179</v>
      </c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>
        <v>3300</v>
      </c>
      <c r="AE18" s="171">
        <f>0.004-0.002</f>
        <v>0.002</v>
      </c>
      <c r="AF18" s="171">
        <f>ROUND(AD18*AE18,2)</f>
        <v>6.6</v>
      </c>
      <c r="AG18" s="171"/>
      <c r="AH18" s="171"/>
      <c r="AI18" s="171"/>
      <c r="AJ18" s="171"/>
      <c r="AK18" s="171"/>
      <c r="AL18" s="204"/>
      <c r="AM18" s="171"/>
      <c r="AN18" s="171"/>
      <c r="AO18" s="171"/>
      <c r="AP18" s="142" t="s">
        <v>146</v>
      </c>
      <c r="AQ18" s="209">
        <v>4</v>
      </c>
      <c r="AR18" s="171"/>
      <c r="AS18" s="210">
        <f t="shared" si="23"/>
        <v>10.6</v>
      </c>
      <c r="AT18" s="210">
        <f t="shared" si="24"/>
        <v>0</v>
      </c>
      <c r="AU18" s="210">
        <f t="shared" si="25"/>
        <v>0</v>
      </c>
      <c r="AV18" s="210">
        <f t="shared" si="26"/>
        <v>0</v>
      </c>
      <c r="AW18" s="210">
        <f t="shared" si="27"/>
        <v>10.6</v>
      </c>
      <c r="AX18" s="219">
        <f t="shared" si="28"/>
        <v>10.6</v>
      </c>
      <c r="AY18" s="219"/>
      <c r="AZ18" s="219">
        <f t="shared" si="29"/>
        <v>0</v>
      </c>
      <c r="BA18" s="219"/>
      <c r="BB18" s="220"/>
      <c r="BC18" s="219">
        <f t="shared" si="17"/>
        <v>10.6</v>
      </c>
      <c r="BD18" s="221" t="s">
        <v>181</v>
      </c>
      <c r="BE18" s="238"/>
      <c r="BF18" s="239"/>
      <c r="BG18" s="239"/>
      <c r="BH18" s="240" t="s">
        <v>146</v>
      </c>
    </row>
    <row r="19" s="161" customFormat="1" ht="18" customHeight="1" spans="1:60">
      <c r="A19" s="171" t="s">
        <v>152</v>
      </c>
      <c r="B19" s="142" t="s">
        <v>140</v>
      </c>
      <c r="C19" s="131" t="s">
        <v>141</v>
      </c>
      <c r="D19" s="141" t="s">
        <v>142</v>
      </c>
      <c r="E19" s="142" t="s">
        <v>143</v>
      </c>
      <c r="F19" s="143" t="s">
        <v>51</v>
      </c>
      <c r="G19" s="144" t="s">
        <v>53</v>
      </c>
      <c r="H19" s="141" t="s">
        <v>144</v>
      </c>
      <c r="I19" s="141" t="s">
        <v>144</v>
      </c>
      <c r="J19" s="141" t="s">
        <v>180</v>
      </c>
      <c r="K19" s="141" t="s">
        <v>180</v>
      </c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>
        <v>3300</v>
      </c>
      <c r="AE19" s="171">
        <f>0.004-0.002</f>
        <v>0.002</v>
      </c>
      <c r="AF19" s="171">
        <f>ROUND(AD19*AE19,2)</f>
        <v>6.6</v>
      </c>
      <c r="AG19" s="171"/>
      <c r="AH19" s="171"/>
      <c r="AI19" s="171"/>
      <c r="AJ19" s="171"/>
      <c r="AK19" s="171"/>
      <c r="AL19" s="204"/>
      <c r="AM19" s="171"/>
      <c r="AN19" s="171"/>
      <c r="AO19" s="171"/>
      <c r="AP19" s="142" t="s">
        <v>146</v>
      </c>
      <c r="AQ19" s="209">
        <v>4</v>
      </c>
      <c r="AR19" s="171"/>
      <c r="AS19" s="210">
        <f t="shared" si="23"/>
        <v>10.6</v>
      </c>
      <c r="AT19" s="210">
        <f t="shared" si="24"/>
        <v>0</v>
      </c>
      <c r="AU19" s="210">
        <f t="shared" si="25"/>
        <v>0</v>
      </c>
      <c r="AV19" s="210">
        <f t="shared" si="26"/>
        <v>0</v>
      </c>
      <c r="AW19" s="210">
        <f t="shared" si="27"/>
        <v>10.6</v>
      </c>
      <c r="AX19" s="219">
        <f t="shared" si="28"/>
        <v>10.6</v>
      </c>
      <c r="AY19" s="219"/>
      <c r="AZ19" s="219">
        <f t="shared" si="29"/>
        <v>0</v>
      </c>
      <c r="BA19" s="219"/>
      <c r="BB19" s="220"/>
      <c r="BC19" s="219">
        <f t="shared" si="17"/>
        <v>10.6</v>
      </c>
      <c r="BD19" s="221" t="s">
        <v>181</v>
      </c>
      <c r="BE19" s="238"/>
      <c r="BF19" s="239"/>
      <c r="BG19" s="239"/>
      <c r="BH19" s="240" t="s">
        <v>146</v>
      </c>
    </row>
    <row r="20" s="161" customFormat="1" ht="18" customHeight="1" spans="1:60">
      <c r="A20" s="172"/>
      <c r="B20" s="173"/>
      <c r="C20" s="174"/>
      <c r="D20" s="175"/>
      <c r="E20" s="176"/>
      <c r="F20" s="177"/>
      <c r="G20" s="178"/>
      <c r="H20" s="175"/>
      <c r="I20" s="175"/>
      <c r="J20" s="175"/>
      <c r="K20" s="175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205"/>
      <c r="AM20" s="198"/>
      <c r="AN20" s="198"/>
      <c r="AO20" s="198"/>
      <c r="AP20" s="176"/>
      <c r="AQ20" s="211"/>
      <c r="AR20" s="211"/>
      <c r="AS20" s="212"/>
      <c r="AT20" s="212"/>
      <c r="AU20" s="212"/>
      <c r="AV20" s="212"/>
      <c r="AW20" s="212"/>
      <c r="AX20" s="222"/>
      <c r="AY20" s="223"/>
      <c r="AZ20" s="222"/>
      <c r="BA20" s="223"/>
      <c r="BB20" s="226"/>
      <c r="BC20" s="225"/>
      <c r="BD20" s="221"/>
      <c r="BE20" s="241"/>
      <c r="BF20" s="241"/>
      <c r="BG20" s="241"/>
      <c r="BH20" s="241"/>
    </row>
    <row r="21" s="162" customFormat="1" ht="18" customHeight="1" spans="1:60">
      <c r="A21" s="179"/>
      <c r="B21" s="180"/>
      <c r="C21" s="174"/>
      <c r="D21" s="181"/>
      <c r="E21" s="182"/>
      <c r="F21" s="183"/>
      <c r="G21" s="184"/>
      <c r="H21" s="185"/>
      <c r="I21" s="181"/>
      <c r="J21" s="185"/>
      <c r="K21" s="185"/>
      <c r="L21" s="199"/>
      <c r="M21" s="199"/>
      <c r="N21" s="200"/>
      <c r="O21" s="199"/>
      <c r="P21" s="199"/>
      <c r="Q21" s="199"/>
      <c r="R21" s="199"/>
      <c r="S21" s="199"/>
      <c r="T21" s="199"/>
      <c r="U21" s="199"/>
      <c r="V21" s="202"/>
      <c r="W21" s="202"/>
      <c r="X21" s="203"/>
      <c r="Y21" s="202"/>
      <c r="Z21" s="199"/>
      <c r="AA21" s="199"/>
      <c r="AB21" s="199"/>
      <c r="AC21" s="199"/>
      <c r="AD21" s="199"/>
      <c r="AE21" s="199"/>
      <c r="AF21" s="200"/>
      <c r="AG21" s="199"/>
      <c r="AH21" s="199"/>
      <c r="AI21" s="199"/>
      <c r="AJ21" s="199"/>
      <c r="AK21" s="199"/>
      <c r="AL21" s="206"/>
      <c r="AM21" s="199"/>
      <c r="AN21" s="199"/>
      <c r="AO21" s="199"/>
      <c r="AP21" s="213"/>
      <c r="AQ21" s="214"/>
      <c r="AR21" s="199"/>
      <c r="AS21" s="215"/>
      <c r="AT21" s="215"/>
      <c r="AU21" s="215"/>
      <c r="AV21" s="215"/>
      <c r="AW21" s="215"/>
      <c r="AX21" s="227"/>
      <c r="AY21" s="228"/>
      <c r="AZ21" s="227"/>
      <c r="BA21" s="228"/>
      <c r="BB21" s="229"/>
      <c r="BC21" s="230"/>
      <c r="BD21" s="231"/>
      <c r="BE21" s="160"/>
      <c r="BF21" s="160"/>
      <c r="BG21" s="160"/>
      <c r="BH21" s="160"/>
    </row>
    <row r="22" s="160" customFormat="1" ht="14.25" spans="1:56">
      <c r="A22" s="186" t="s">
        <v>163</v>
      </c>
      <c r="B22" s="187"/>
      <c r="C22" s="188"/>
      <c r="D22" s="188"/>
      <c r="E22" s="189"/>
      <c r="F22" s="188"/>
      <c r="G22" s="188"/>
      <c r="H22" s="188"/>
      <c r="I22" s="188"/>
      <c r="J22" s="188"/>
      <c r="K22" s="188"/>
      <c r="L22" s="189">
        <f t="shared" ref="L22:BC22" si="30">SUM(L3:L21)</f>
        <v>33208.85</v>
      </c>
      <c r="M22" s="189">
        <f t="shared" si="30"/>
        <v>2.08</v>
      </c>
      <c r="N22" s="189">
        <f t="shared" si="30"/>
        <v>5313.42</v>
      </c>
      <c r="O22" s="189">
        <f t="shared" si="30"/>
        <v>1.04</v>
      </c>
      <c r="P22" s="189">
        <f t="shared" si="30"/>
        <v>2656.71</v>
      </c>
      <c r="Q22" s="189">
        <f t="shared" si="30"/>
        <v>31059.15</v>
      </c>
      <c r="R22" s="189">
        <f t="shared" si="30"/>
        <v>0.681</v>
      </c>
      <c r="S22" s="189">
        <f t="shared" si="30"/>
        <v>2385.54</v>
      </c>
      <c r="T22" s="189">
        <f t="shared" si="30"/>
        <v>0.18</v>
      </c>
      <c r="U22" s="189">
        <f t="shared" si="30"/>
        <v>621.18</v>
      </c>
      <c r="V22" s="189">
        <f t="shared" si="30"/>
        <v>33208.85</v>
      </c>
      <c r="W22" s="189">
        <f t="shared" si="30"/>
        <v>0.091</v>
      </c>
      <c r="X22" s="189">
        <f t="shared" si="30"/>
        <v>232.46</v>
      </c>
      <c r="Y22" s="189">
        <f t="shared" si="30"/>
        <v>0.039</v>
      </c>
      <c r="Z22" s="189">
        <f t="shared" si="30"/>
        <v>99.62</v>
      </c>
      <c r="AA22" s="189">
        <f t="shared" si="30"/>
        <v>9159.15</v>
      </c>
      <c r="AB22" s="189">
        <f t="shared" si="30"/>
        <v>0.021</v>
      </c>
      <c r="AC22" s="189">
        <f t="shared" si="30"/>
        <v>64.11</v>
      </c>
      <c r="AD22" s="189">
        <f t="shared" si="30"/>
        <v>40959.15</v>
      </c>
      <c r="AE22" s="189">
        <f t="shared" si="30"/>
        <v>0.0408</v>
      </c>
      <c r="AF22" s="189">
        <f t="shared" si="30"/>
        <v>144.93</v>
      </c>
      <c r="AG22" s="189">
        <f t="shared" si="30"/>
        <v>21000</v>
      </c>
      <c r="AH22" s="189">
        <f t="shared" si="30"/>
        <v>0.6</v>
      </c>
      <c r="AI22" s="189">
        <f t="shared" si="30"/>
        <v>1737</v>
      </c>
      <c r="AJ22" s="189">
        <f t="shared" si="30"/>
        <v>0.48</v>
      </c>
      <c r="AK22" s="189">
        <f t="shared" si="30"/>
        <v>1377</v>
      </c>
      <c r="AL22" s="189">
        <f t="shared" si="30"/>
        <v>0</v>
      </c>
      <c r="AM22" s="189">
        <f t="shared" si="30"/>
        <v>0</v>
      </c>
      <c r="AN22" s="189">
        <f t="shared" si="30"/>
        <v>0</v>
      </c>
      <c r="AO22" s="189">
        <f t="shared" si="30"/>
        <v>0</v>
      </c>
      <c r="AP22" s="189">
        <f t="shared" si="30"/>
        <v>0</v>
      </c>
      <c r="AQ22" s="189">
        <f t="shared" si="30"/>
        <v>39</v>
      </c>
      <c r="AR22" s="189">
        <f t="shared" si="30"/>
        <v>0</v>
      </c>
      <c r="AS22" s="189">
        <f t="shared" si="30"/>
        <v>8179.46</v>
      </c>
      <c r="AT22" s="189">
        <f t="shared" si="30"/>
        <v>3377.51</v>
      </c>
      <c r="AU22" s="189">
        <f t="shared" si="30"/>
        <v>1737</v>
      </c>
      <c r="AV22" s="189">
        <f t="shared" si="30"/>
        <v>1377</v>
      </c>
      <c r="AW22" s="189">
        <f t="shared" si="30"/>
        <v>14670.97</v>
      </c>
      <c r="AX22" s="189">
        <f t="shared" si="30"/>
        <v>11556.97</v>
      </c>
      <c r="AY22" s="189">
        <f t="shared" si="30"/>
        <v>0</v>
      </c>
      <c r="AZ22" s="189">
        <f t="shared" si="30"/>
        <v>3114</v>
      </c>
      <c r="BA22" s="189">
        <f t="shared" si="30"/>
        <v>0</v>
      </c>
      <c r="BB22" s="189">
        <f t="shared" si="30"/>
        <v>960</v>
      </c>
      <c r="BC22" s="189">
        <f t="shared" si="30"/>
        <v>15630.97</v>
      </c>
      <c r="BD22" s="232"/>
    </row>
    <row r="23" s="160" customFormat="1" ht="15" spans="1:56">
      <c r="A23" s="190" t="s">
        <v>61</v>
      </c>
      <c r="B23" s="191"/>
      <c r="C23" s="192"/>
      <c r="D23" s="192"/>
      <c r="E23" s="193"/>
      <c r="F23" s="193"/>
      <c r="G23" s="193"/>
      <c r="H23" s="193"/>
      <c r="I23" s="193"/>
      <c r="J23" s="193"/>
      <c r="K23" s="193"/>
      <c r="L23" s="201">
        <f t="shared" ref="L23:AX23" si="31">SUM(L22:L22)</f>
        <v>33208.85</v>
      </c>
      <c r="M23" s="201">
        <f t="shared" si="31"/>
        <v>2.08</v>
      </c>
      <c r="N23" s="201">
        <f t="shared" si="31"/>
        <v>5313.42</v>
      </c>
      <c r="O23" s="201">
        <f t="shared" si="31"/>
        <v>1.04</v>
      </c>
      <c r="P23" s="201">
        <f t="shared" si="31"/>
        <v>2656.71</v>
      </c>
      <c r="Q23" s="201">
        <f t="shared" si="31"/>
        <v>31059.15</v>
      </c>
      <c r="R23" s="201">
        <f t="shared" si="31"/>
        <v>0.681</v>
      </c>
      <c r="S23" s="201">
        <f t="shared" si="31"/>
        <v>2385.54</v>
      </c>
      <c r="T23" s="201">
        <f t="shared" si="31"/>
        <v>0.18</v>
      </c>
      <c r="U23" s="201">
        <f t="shared" si="31"/>
        <v>621.18</v>
      </c>
      <c r="V23" s="201">
        <f t="shared" si="31"/>
        <v>33208.85</v>
      </c>
      <c r="W23" s="201">
        <f t="shared" si="31"/>
        <v>0.091</v>
      </c>
      <c r="X23" s="201">
        <f t="shared" si="31"/>
        <v>232.46</v>
      </c>
      <c r="Y23" s="201">
        <f t="shared" si="31"/>
        <v>0.039</v>
      </c>
      <c r="Z23" s="201">
        <f t="shared" si="31"/>
        <v>99.62</v>
      </c>
      <c r="AA23" s="201">
        <f t="shared" si="31"/>
        <v>9159.15</v>
      </c>
      <c r="AB23" s="201">
        <f t="shared" si="31"/>
        <v>0.021</v>
      </c>
      <c r="AC23" s="201">
        <f t="shared" si="31"/>
        <v>64.11</v>
      </c>
      <c r="AD23" s="201">
        <f t="shared" si="31"/>
        <v>40959.15</v>
      </c>
      <c r="AE23" s="201">
        <f t="shared" si="31"/>
        <v>0.0408</v>
      </c>
      <c r="AF23" s="201">
        <f t="shared" si="31"/>
        <v>144.93</v>
      </c>
      <c r="AG23" s="201">
        <f t="shared" si="31"/>
        <v>21000</v>
      </c>
      <c r="AH23" s="201">
        <f t="shared" si="31"/>
        <v>0.6</v>
      </c>
      <c r="AI23" s="201">
        <f t="shared" si="31"/>
        <v>1737</v>
      </c>
      <c r="AJ23" s="201">
        <f t="shared" si="31"/>
        <v>0.48</v>
      </c>
      <c r="AK23" s="201">
        <f t="shared" si="31"/>
        <v>1377</v>
      </c>
      <c r="AL23" s="201">
        <f t="shared" si="31"/>
        <v>0</v>
      </c>
      <c r="AM23" s="201">
        <f t="shared" si="31"/>
        <v>0</v>
      </c>
      <c r="AN23" s="201">
        <f t="shared" si="31"/>
        <v>0</v>
      </c>
      <c r="AO23" s="201">
        <f t="shared" si="31"/>
        <v>0</v>
      </c>
      <c r="AP23" s="201">
        <f t="shared" si="31"/>
        <v>0</v>
      </c>
      <c r="AQ23" s="201">
        <f t="shared" si="31"/>
        <v>39</v>
      </c>
      <c r="AR23" s="201">
        <f t="shared" si="31"/>
        <v>0</v>
      </c>
      <c r="AS23" s="216">
        <f t="shared" si="31"/>
        <v>8179.46</v>
      </c>
      <c r="AT23" s="216">
        <f t="shared" si="31"/>
        <v>3377.51</v>
      </c>
      <c r="AU23" s="216">
        <f t="shared" si="31"/>
        <v>1737</v>
      </c>
      <c r="AV23" s="216">
        <f t="shared" si="31"/>
        <v>1377</v>
      </c>
      <c r="AW23" s="216">
        <f t="shared" si="31"/>
        <v>14670.97</v>
      </c>
      <c r="AX23" s="233">
        <f t="shared" si="31"/>
        <v>11556.97</v>
      </c>
      <c r="AY23" s="233"/>
      <c r="AZ23" s="233">
        <f t="shared" ref="AZ23:BC23" si="32">SUM(AZ22:AZ22)</f>
        <v>3114</v>
      </c>
      <c r="BA23" s="233"/>
      <c r="BB23" s="201">
        <f t="shared" si="32"/>
        <v>960</v>
      </c>
      <c r="BC23" s="201">
        <f t="shared" si="32"/>
        <v>15630.97</v>
      </c>
      <c r="BD23" s="234"/>
    </row>
    <row r="24" s="163" customFormat="1" spans="1:56">
      <c r="A24" s="194"/>
      <c r="B24" s="194"/>
      <c r="C24" s="194"/>
      <c r="D24" s="194"/>
      <c r="E24" s="194"/>
      <c r="F24" s="195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217"/>
      <c r="AT24" s="217"/>
      <c r="AU24" s="217"/>
      <c r="AV24" s="217"/>
      <c r="AW24" s="217"/>
      <c r="AX24" s="194"/>
      <c r="AY24" s="194"/>
      <c r="AZ24" s="194"/>
      <c r="BA24" s="194"/>
      <c r="BB24" s="194"/>
      <c r="BC24" s="194">
        <f>'（居民）工资表-10月'!E13</f>
        <v>40854.04</v>
      </c>
      <c r="BD24" s="235"/>
    </row>
    <row r="25" s="164" customFormat="1" spans="1:56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60"/>
      <c r="AK25" s="160"/>
      <c r="AL25" s="160"/>
      <c r="AM25" s="160"/>
      <c r="AN25" s="160"/>
      <c r="AO25" s="160"/>
      <c r="AP25" s="160"/>
      <c r="AQ25" s="160"/>
      <c r="AR25" s="160"/>
      <c r="AS25" s="165"/>
      <c r="AT25" s="165"/>
      <c r="AU25" s="165"/>
      <c r="AV25" s="165"/>
      <c r="AW25" s="165"/>
      <c r="AX25" s="160"/>
      <c r="AY25" s="160"/>
      <c r="AZ25" s="160"/>
      <c r="BA25" s="160"/>
      <c r="BB25" s="160"/>
      <c r="BC25" s="160"/>
      <c r="BD25" s="166"/>
    </row>
    <row r="26" s="160" customFormat="1" spans="45:56">
      <c r="AS26" s="165"/>
      <c r="AT26" s="165"/>
      <c r="AU26" s="165"/>
      <c r="AV26" s="165"/>
      <c r="AW26" s="165"/>
      <c r="BD26" s="166"/>
    </row>
    <row r="27" s="160" customFormat="1" spans="45:56">
      <c r="AS27" s="165"/>
      <c r="AT27" s="165"/>
      <c r="AU27" s="165"/>
      <c r="AV27" s="165"/>
      <c r="AW27" s="165"/>
      <c r="AX27" s="236"/>
      <c r="AY27" s="236"/>
      <c r="BC27" s="237"/>
      <c r="BD27" s="166"/>
    </row>
    <row r="28" s="160" customFormat="1" spans="45:56">
      <c r="AS28" s="165"/>
      <c r="AT28" s="165"/>
      <c r="AU28" s="165"/>
      <c r="AV28" s="165"/>
      <c r="AW28" s="165"/>
      <c r="BD28" s="166"/>
    </row>
  </sheetData>
  <mergeCells count="60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3:AY23"/>
    <mergeCell ref="AZ23:BA23"/>
    <mergeCell ref="AX27:AY27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8980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L4+IFERROR(VLOOKUP($E:$E,'（居民）工资表-5月'!$E:$S,15,0),0)</f>
        <v>51840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3119.4</v>
      </c>
      <c r="V4" s="70"/>
      <c r="W4" s="70"/>
      <c r="X4" s="70">
        <v>6000</v>
      </c>
      <c r="Y4" s="70"/>
      <c r="Z4" s="70"/>
      <c r="AA4" s="70"/>
      <c r="AB4" s="90">
        <f>ROUND(SUM(V4:AA4),2)</f>
        <v>6000</v>
      </c>
      <c r="AC4" s="90">
        <f>R4+IFERROR(VLOOKUP($E:$E,'（居民）工资表-5月'!$E:$AC,25,0),0)</f>
        <v>0</v>
      </c>
      <c r="AD4" s="93">
        <f>ROUND(S4-T4-U4-AB4-AC4,2)</f>
        <v>12720.6</v>
      </c>
      <c r="AE4" s="94">
        <f>ROUND(MAX((AD4)*{0.03;0.1;0.2;0.25;0.3;0.35;0.45}-{0;2520;16920;31920;52920;85920;181920},0),2)</f>
        <v>381.62</v>
      </c>
      <c r="AF4" s="95">
        <f>IFERROR(VLOOKUP(E:E,'（居民）工资表-5月'!E:AF,28,0)+VLOOKUP(E:E,'（居民）工资表-5月'!E:AG,29,0),0)</f>
        <v>307.82</v>
      </c>
      <c r="AG4" s="95">
        <f>IF((AE4-AF4)&lt;0,0,AE4-AF4)</f>
        <v>73.8</v>
      </c>
      <c r="AH4" s="102">
        <f>ROUND(IF((L4-Q4-AG4)&lt;0,0,(L4-Q4-AG4)),2)</f>
        <v>8386.3</v>
      </c>
      <c r="AI4" s="103"/>
      <c r="AJ4" s="102">
        <f>AH4+AI4</f>
        <v>8386.3</v>
      </c>
      <c r="AK4" s="104"/>
      <c r="AL4" s="102">
        <f>AJ4+AG4+AK4</f>
        <v>8460.1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57</v>
      </c>
      <c r="D5" s="37" t="s">
        <v>52</v>
      </c>
      <c r="E5" s="368" t="s">
        <v>58</v>
      </c>
      <c r="F5" s="38" t="s">
        <v>183</v>
      </c>
      <c r="G5" s="39">
        <v>13926009696</v>
      </c>
      <c r="H5" s="40"/>
      <c r="I5" s="40"/>
      <c r="J5" s="69"/>
      <c r="K5" s="40"/>
      <c r="L5" s="70">
        <v>5800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L5+IFERROR(VLOOKUP($E:$E,'（居民）工资表-5月'!$E:$S,15,0),0)</f>
        <v>34800</v>
      </c>
      <c r="T5" s="91">
        <f>5000+IFERROR(VLOOKUP($E:$E,'（居民）工资表-5月'!$E:$T,16,0),0)</f>
        <v>30000</v>
      </c>
      <c r="U5" s="91">
        <f>Q5+IFERROR(VLOOKUP($E:$E,'（居民）工资表-5月'!$E:$U,17,0),0)</f>
        <v>2612.1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3">
        <f>ROUND(S5-T5-U5-AB5-AC5,2)</f>
        <v>2187.9</v>
      </c>
      <c r="AE5" s="94">
        <f>ROUND(MAX((AD5)*{0.03;0.1;0.2;0.25;0.3;0.35;0.45}-{0;2520;16920;31920;52920;85920;181920},0),2)</f>
        <v>65.64</v>
      </c>
      <c r="AF5" s="95">
        <f>IFERROR(VLOOKUP(E:E,'（居民）工资表-5月'!E:AF,28,0)+VLOOKUP(E:E,'（居民）工资表-5月'!E:AG,29,0),0)</f>
        <v>54.7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">
        <v>182</v>
      </c>
      <c r="G6" s="39">
        <v>13944441728</v>
      </c>
      <c r="H6" s="40"/>
      <c r="I6" s="40"/>
      <c r="J6" s="69"/>
      <c r="K6" s="40"/>
      <c r="L6" s="70">
        <v>8120</v>
      </c>
      <c r="M6" s="71">
        <v>488.48</v>
      </c>
      <c r="N6" s="71">
        <v>122.12</v>
      </c>
      <c r="O6" s="71">
        <v>18.32</v>
      </c>
      <c r="P6" s="71">
        <v>158</v>
      </c>
      <c r="Q6" s="89">
        <f>ROUND(SUM(M6:P6),2)</f>
        <v>786.92</v>
      </c>
      <c r="R6" s="70">
        <v>0</v>
      </c>
      <c r="S6" s="90">
        <f>L6+IFERROR(VLOOKUP($E:$E,'（居民）工资表-5月'!$E:$S,15,0),0)</f>
        <v>21140</v>
      </c>
      <c r="T6" s="91">
        <f>5000+IFERROR(VLOOKUP($E:$E,'（居民）工资表-5月'!$E:$T,16,0),0)</f>
        <v>15000</v>
      </c>
      <c r="U6" s="91">
        <f>Q6+IFERROR(VLOOKUP($E:$E,'（居民）工资表-5月'!$E:$U,17,0),0)</f>
        <v>1573.84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3">
        <f>ROUND(S6-T6-U6-AB6-AC6,2)</f>
        <v>4566.16</v>
      </c>
      <c r="AE6" s="94">
        <f>ROUND(MAX((AD6)*{0.03;0.1;0.2;0.25;0.3;0.35;0.45}-{0;2520;16920;31920;52920;85920;181920},0),2)</f>
        <v>136.98</v>
      </c>
      <c r="AF6" s="95">
        <f>IFERROR(VLOOKUP(E:E,'（居民）工资表-5月'!E:AF,28,0)+VLOOKUP(E:E,'（居民）工资表-5月'!E:AG,29,0),0)</f>
        <v>66.99</v>
      </c>
      <c r="AG6" s="95">
        <f>IF((AE6-AF6)&lt;0,0,AE6-AF6)</f>
        <v>69.99</v>
      </c>
      <c r="AH6" s="102">
        <f>ROUND(IF((L6-Q6-AG6)&lt;0,0,(L6-Q6-AG6)),2)</f>
        <v>7263.09</v>
      </c>
      <c r="AI6" s="103"/>
      <c r="AJ6" s="102">
        <f>AH6+AI6</f>
        <v>7263.09</v>
      </c>
      <c r="AK6" s="104"/>
      <c r="AL6" s="102">
        <f>AJ6+AG6+AK6</f>
        <v>7333.08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8" t="s">
        <v>165</v>
      </c>
      <c r="F7" s="38" t="s">
        <v>182</v>
      </c>
      <c r="G7" s="39"/>
      <c r="H7" s="40"/>
      <c r="I7" s="40"/>
      <c r="J7" s="69"/>
      <c r="K7" s="40"/>
      <c r="L7" s="70">
        <v>25000</v>
      </c>
      <c r="M7" s="71">
        <f>320*2</f>
        <v>640</v>
      </c>
      <c r="N7" s="71">
        <f>80*2+86.67</f>
        <v>246.67</v>
      </c>
      <c r="O7" s="71">
        <f>12*2</f>
        <v>24</v>
      </c>
      <c r="P7" s="71">
        <v>400</v>
      </c>
      <c r="Q7" s="89">
        <f>ROUND(SUM(M7:P7),2)</f>
        <v>1310.67</v>
      </c>
      <c r="R7" s="70">
        <v>0</v>
      </c>
      <c r="S7" s="90">
        <f>L7+IFERROR(VLOOKUP($E:$E,'（居民）工资表-5月'!$E:$S,15,0),0)</f>
        <v>36904.76</v>
      </c>
      <c r="T7" s="91">
        <f>5000+IFERROR(VLOOKUP($E:$E,'（居民）工资表-5月'!$E:$T,16,0),0)</f>
        <v>10000</v>
      </c>
      <c r="U7" s="91">
        <f>Q7+IFERROR(VLOOKUP($E:$E,'（居民）工资表-5月'!$E:$U,17,0),0)</f>
        <v>1310.67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R7+IFERROR(VLOOKUP($E:$E,'（居民）工资表-5月'!$E:$AC,25,0),0)</f>
        <v>0</v>
      </c>
      <c r="AD7" s="93">
        <f>ROUND(S7-T7-U7-AB7-AC7,2)</f>
        <v>25594.09</v>
      </c>
      <c r="AE7" s="94">
        <f>ROUND(MAX((AD7)*{0.03;0.1;0.2;0.25;0.3;0.35;0.45}-{0;2520;16920;31920;52920;85920;181920},0),2)</f>
        <v>767.82</v>
      </c>
      <c r="AF7" s="95">
        <f>IFERROR(VLOOKUP(E:E,'（居民）工资表-5月'!E:AF,28,0)+VLOOKUP(E:E,'（居民）工资表-5月'!E:AG,29,0),0)</f>
        <v>207.14</v>
      </c>
      <c r="AG7" s="95">
        <f>IF((AE7-AF7)&lt;0,0,AE7-AF7)</f>
        <v>560.68</v>
      </c>
      <c r="AH7" s="102">
        <f>ROUND(IF((L7-Q7-AG7)&lt;0,0,(L7-Q7-AG7)),2)</f>
        <v>23128.65</v>
      </c>
      <c r="AI7" s="103"/>
      <c r="AJ7" s="102">
        <f>AH7+AI7</f>
        <v>23128.65</v>
      </c>
      <c r="AK7" s="104"/>
      <c r="AL7" s="102">
        <f>AJ7+AG7+AK7</f>
        <v>23689.33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47900</v>
      </c>
      <c r="M8" s="74">
        <f t="shared" si="0"/>
        <v>1696.72</v>
      </c>
      <c r="N8" s="74">
        <f t="shared" si="0"/>
        <v>558.29</v>
      </c>
      <c r="O8" s="74">
        <f t="shared" si="0"/>
        <v>59.83</v>
      </c>
      <c r="P8" s="74">
        <f t="shared" si="0"/>
        <v>738</v>
      </c>
      <c r="Q8" s="74">
        <f t="shared" si="0"/>
        <v>3052.84</v>
      </c>
      <c r="R8" s="74">
        <f t="shared" si="0"/>
        <v>0</v>
      </c>
      <c r="S8" s="74">
        <f t="shared" si="0"/>
        <v>144684.76</v>
      </c>
      <c r="T8" s="74">
        <f t="shared" si="0"/>
        <v>85000</v>
      </c>
      <c r="U8" s="74">
        <f t="shared" si="0"/>
        <v>8616.01</v>
      </c>
      <c r="V8" s="74">
        <f t="shared" si="0"/>
        <v>0</v>
      </c>
      <c r="W8" s="74">
        <f t="shared" si="0"/>
        <v>0</v>
      </c>
      <c r="X8" s="74">
        <f t="shared" si="0"/>
        <v>6000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6000</v>
      </c>
      <c r="AC8" s="74">
        <f t="shared" si="0"/>
        <v>0</v>
      </c>
      <c r="AD8" s="74">
        <f t="shared" si="0"/>
        <v>45068.75</v>
      </c>
      <c r="AE8" s="74">
        <f t="shared" si="0"/>
        <v>1352.06</v>
      </c>
      <c r="AF8" s="74">
        <f t="shared" si="0"/>
        <v>636.65</v>
      </c>
      <c r="AG8" s="74">
        <f t="shared" si="0"/>
        <v>715.41</v>
      </c>
      <c r="AH8" s="74">
        <f t="shared" si="0"/>
        <v>44131.75</v>
      </c>
      <c r="AI8" s="105">
        <f t="shared" si="0"/>
        <v>0</v>
      </c>
      <c r="AJ8" s="74">
        <f t="shared" si="0"/>
        <v>44131.75</v>
      </c>
      <c r="AK8" s="74">
        <f t="shared" si="0"/>
        <v>0</v>
      </c>
      <c r="AL8" s="74">
        <f t="shared" si="0"/>
        <v>44847.16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44131.75</v>
      </c>
      <c r="C13" s="48">
        <f>AG8</f>
        <v>715.41</v>
      </c>
      <c r="D13" s="48">
        <f>AK8</f>
        <v>0</v>
      </c>
      <c r="E13" s="48">
        <f>B13+C13+D13</f>
        <v>44847.16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7700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L4+IFERROR(VLOOKUP($E:$E,'（居民）工资表-6月'!$E:$S,15,0),0)</f>
        <v>59540</v>
      </c>
      <c r="T4" s="91">
        <f>5000+IFERROR(VLOOKUP($E:$E,'（居民）工资表-6月'!$E:$T,16,0),0)</f>
        <v>35000</v>
      </c>
      <c r="U4" s="91">
        <f>Q4+IFERROR(VLOOKUP($E:$E,'（居民）工资表-6月'!$E:$U,17,0),0)</f>
        <v>3639.3</v>
      </c>
      <c r="V4" s="70"/>
      <c r="W4" s="70"/>
      <c r="X4" s="70">
        <v>7000</v>
      </c>
      <c r="Y4" s="70"/>
      <c r="Z4" s="70"/>
      <c r="AA4" s="70"/>
      <c r="AB4" s="90">
        <f>ROUND(SUM(V4:AA4),2)</f>
        <v>7000</v>
      </c>
      <c r="AC4" s="90">
        <f>R4+IFERROR(VLOOKUP($E:$E,'（居民）工资表-6月'!$E:$AC,25,0),0)</f>
        <v>0</v>
      </c>
      <c r="AD4" s="93">
        <f>ROUND(S4-T4-U4-AB4-AC4,2)</f>
        <v>13900.7</v>
      </c>
      <c r="AE4" s="94">
        <f>ROUND(MAX((AD4)*{0.03;0.1;0.2;0.25;0.3;0.35;0.45}-{0;2520;16920;31920;52920;85920;181920},0),2)</f>
        <v>417.02</v>
      </c>
      <c r="AF4" s="95">
        <f>IFERROR(VLOOKUP(E:E,'（居民）工资表-6月'!E:AF,28,0)+VLOOKUP(E:E,'（居民）工资表-6月'!E:AG,29,0),0)</f>
        <v>381.62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57</v>
      </c>
      <c r="D5" s="37" t="s">
        <v>52</v>
      </c>
      <c r="E5" s="368" t="s">
        <v>58</v>
      </c>
      <c r="F5" s="38" t="s">
        <v>183</v>
      </c>
      <c r="G5" s="39">
        <v>13926009696</v>
      </c>
      <c r="H5" s="40"/>
      <c r="I5" s="40"/>
      <c r="J5" s="69"/>
      <c r="K5" s="40"/>
      <c r="L5" s="70">
        <v>4745.45454545455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L5+IFERROR(VLOOKUP($E:$E,'（居民）工资表-6月'!$E:$S,15,0),0)</f>
        <v>39545.4545454546</v>
      </c>
      <c r="T5" s="91">
        <f>5000+IFERROR(VLOOKUP($E:$E,'（居民）工资表-6月'!$E:$T,16,0),0)</f>
        <v>35000</v>
      </c>
      <c r="U5" s="91">
        <f>Q5+IFERROR(VLOOKUP($E:$E,'（居民）工资表-6月'!$E:$U,17,0),0)</f>
        <v>3047.45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R5+IFERROR(VLOOKUP($E:$E,'（居民）工资表-6月'!$E:$AC,25,0),0)</f>
        <v>0</v>
      </c>
      <c r="AD5" s="93">
        <f>ROUND(S5-T5-U5-AB5-AC5,2)</f>
        <v>1498</v>
      </c>
      <c r="AE5" s="94">
        <f>ROUND(MAX((AD5)*{0.03;0.1;0.2;0.25;0.3;0.35;0.45}-{0;2520;16920;31920;52920;85920;181920},0),2)</f>
        <v>44.94</v>
      </c>
      <c r="AF5" s="95">
        <f>IFERROR(VLOOKUP(E:E,'（居民）工资表-6月'!E:AF,28,0)+VLOOKUP(E:E,'（居民）工资表-6月'!E:AG,29,0),0)</f>
        <v>65.64</v>
      </c>
      <c r="AG5" s="95">
        <f>IF((AE5-AF5)&lt;0,0,AE5-AF5)</f>
        <v>0</v>
      </c>
      <c r="AH5" s="102">
        <f>ROUND(IF((L5-Q5-AG5)&lt;0,0,(L5-Q5-AG5)),2)</f>
        <v>4310.1</v>
      </c>
      <c r="AI5" s="103"/>
      <c r="AJ5" s="102">
        <f>AH5+AI5</f>
        <v>4310.1</v>
      </c>
      <c r="AK5" s="104"/>
      <c r="AL5" s="102">
        <f>AJ5+AG5+AK5</f>
        <v>4310.1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">
        <v>182</v>
      </c>
      <c r="G6" s="39">
        <v>13944441728</v>
      </c>
      <c r="H6" s="40"/>
      <c r="I6" s="40"/>
      <c r="J6" s="69"/>
      <c r="K6" s="40"/>
      <c r="L6" s="70">
        <v>7000</v>
      </c>
      <c r="M6" s="71">
        <v>244.24</v>
      </c>
      <c r="N6" s="71">
        <v>61.06</v>
      </c>
      <c r="O6" s="71">
        <v>9.16</v>
      </c>
      <c r="P6" s="71">
        <v>79</v>
      </c>
      <c r="Q6" s="89">
        <f>ROUND(SUM(M6:P6),2)</f>
        <v>393.46</v>
      </c>
      <c r="R6" s="70">
        <v>0</v>
      </c>
      <c r="S6" s="90">
        <f>L6+IFERROR(VLOOKUP($E:$E,'（居民）工资表-6月'!$E:$S,15,0),0)</f>
        <v>28140</v>
      </c>
      <c r="T6" s="91">
        <f>5000+IFERROR(VLOOKUP($E:$E,'（居民）工资表-6月'!$E:$T,16,0),0)</f>
        <v>20000</v>
      </c>
      <c r="U6" s="91">
        <f>Q6+IFERROR(VLOOKUP($E:$E,'（居民）工资表-6月'!$E:$U,17,0),0)</f>
        <v>1967.3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R6+IFERROR(VLOOKUP($E:$E,'（居民）工资表-6月'!$E:$AC,25,0),0)</f>
        <v>0</v>
      </c>
      <c r="AD6" s="93">
        <f>ROUND(S6-T6-U6-AB6-AC6,2)</f>
        <v>6172.7</v>
      </c>
      <c r="AE6" s="94">
        <f>ROUND(MAX((AD6)*{0.03;0.1;0.2;0.25;0.3;0.35;0.45}-{0;2520;16920;31920;52920;85920;181920},0),2)</f>
        <v>185.18</v>
      </c>
      <c r="AF6" s="95">
        <f>IFERROR(VLOOKUP(E:E,'（居民）工资表-6月'!E:AF,28,0)+VLOOKUP(E:E,'（居民）工资表-6月'!E:AG,29,0),0)</f>
        <v>136.98</v>
      </c>
      <c r="AG6" s="95">
        <f>IF((AE6-AF6)&lt;0,0,AE6-AF6)</f>
        <v>48.2</v>
      </c>
      <c r="AH6" s="102">
        <f>ROUND(IF((L6-Q6-AG6)&lt;0,0,(L6-Q6-AG6)),2)</f>
        <v>6558.34</v>
      </c>
      <c r="AI6" s="103"/>
      <c r="AJ6" s="102">
        <f>AH6+AI6</f>
        <v>6558.34</v>
      </c>
      <c r="AK6" s="104"/>
      <c r="AL6" s="102">
        <f>AJ6+AG6+AK6</f>
        <v>6606.54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8" t="s">
        <v>165</v>
      </c>
      <c r="F7" s="38" t="s">
        <v>182</v>
      </c>
      <c r="G7" s="39">
        <v>18607383005</v>
      </c>
      <c r="H7" s="40"/>
      <c r="I7" s="40"/>
      <c r="J7" s="69"/>
      <c r="K7" s="40"/>
      <c r="L7" s="70">
        <v>24800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L7+IFERROR(VLOOKUP($E:$E,'（居民）工资表-6月'!$E:$S,15,0),0)</f>
        <v>61704.76</v>
      </c>
      <c r="T7" s="91">
        <f>5000+IFERROR(VLOOKUP($E:$E,'（居民）工资表-6月'!$E:$T,16,0),0)</f>
        <v>15000</v>
      </c>
      <c r="U7" s="91">
        <f>Q7+IFERROR(VLOOKUP($E:$E,'（居民）工资表-6月'!$E:$U,17,0),0)</f>
        <v>1922.67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R7+IFERROR(VLOOKUP($E:$E,'（居民）工资表-6月'!$E:$AC,25,0),0)</f>
        <v>0</v>
      </c>
      <c r="AD7" s="93">
        <f>ROUND(S7-T7-U7-AB7-AC7,2)</f>
        <v>44782.09</v>
      </c>
      <c r="AE7" s="94">
        <f>ROUND(MAX((AD7)*{0.03;0.1;0.2;0.25;0.3;0.35;0.45}-{0;2520;16920;31920;52920;85920;181920},0),2)</f>
        <v>1958.21</v>
      </c>
      <c r="AF7" s="95">
        <f>IFERROR(VLOOKUP(E:E,'（居民）工资表-6月'!E:AF,28,0)+VLOOKUP(E:E,'（居民）工资表-6月'!E:AG,29,0),0)</f>
        <v>767.82</v>
      </c>
      <c r="AG7" s="95">
        <f>IF((AE7-AF7)&lt;0,0,AE7-AF7)</f>
        <v>1190.39</v>
      </c>
      <c r="AH7" s="102">
        <f>ROUND(IF((L7-Q7-AG7)&lt;0,0,(L7-Q7-AG7)),2)</f>
        <v>22997.61</v>
      </c>
      <c r="AI7" s="103"/>
      <c r="AJ7" s="102">
        <f>AH7+AI7</f>
        <v>22997.61</v>
      </c>
      <c r="AK7" s="104"/>
      <c r="AL7" s="102">
        <f>AJ7+AG7+AK7</f>
        <v>24188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50</v>
      </c>
      <c r="C8" s="37" t="s">
        <v>174</v>
      </c>
      <c r="D8" s="37" t="s">
        <v>52</v>
      </c>
      <c r="E8" s="368" t="s">
        <v>184</v>
      </c>
      <c r="F8" s="38" t="str">
        <f>IF(MOD(MID(E8,17,1),2)=1,"男","女")</f>
        <v>女</v>
      </c>
      <c r="G8" s="39">
        <v>15360550807</v>
      </c>
      <c r="H8" s="40"/>
      <c r="I8" s="40"/>
      <c r="J8" s="69"/>
      <c r="K8" s="40"/>
      <c r="L8" s="70">
        <v>3523.63636363636</v>
      </c>
      <c r="M8" s="71"/>
      <c r="N8" s="71"/>
      <c r="O8" s="71"/>
      <c r="P8" s="71"/>
      <c r="Q8" s="89">
        <f>ROUND(SUM(M8:P8),2)</f>
        <v>0</v>
      </c>
      <c r="R8" s="70">
        <v>0</v>
      </c>
      <c r="S8" s="90">
        <f>L8+IFERROR(VLOOKUP($E:$E,'（居民）工资表-6月'!$E:$S,15,0),0)</f>
        <v>3523.63636363636</v>
      </c>
      <c r="T8" s="91">
        <f>5000+IFERROR(VLOOKUP($E:$E,'（居民）工资表-6月'!$E:$T,16,0),0)</f>
        <v>5000</v>
      </c>
      <c r="U8" s="91">
        <f>Q8+IFERROR(VLOOKUP($E:$E,'（居民）工资表-6月'!$E:$U,17,0),0)</f>
        <v>0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R8+IFERROR(VLOOKUP($E:$E,'（居民）工资表-6月'!$E:$AC,25,0),0)</f>
        <v>0</v>
      </c>
      <c r="AD8" s="93">
        <f>ROUND(S8-T8-U8-AB8-AC8,2)</f>
        <v>-1476.36</v>
      </c>
      <c r="AE8" s="94">
        <f>ROUND(MAX((AD8)*{0.03;0.1;0.2;0.25;0.3;0.35;0.45}-{0;2520;16920;31920;52920;85920;181920},0),2)</f>
        <v>0</v>
      </c>
      <c r="AF8" s="95">
        <f>IFERROR(VLOOKUP(E:E,'（居民）工资表-6月'!E:AF,28,0)+VLOOKUP(E:E,'（居民）工资表-6月'!E:AG,29,0),0)</f>
        <v>0</v>
      </c>
      <c r="AG8" s="95">
        <f>IF((AE8-AF8)&lt;0,0,AE8-AF8)</f>
        <v>0</v>
      </c>
      <c r="AH8" s="102">
        <f>ROUND(IF((L8-Q8-AG8)&lt;0,0,(L8-Q8-AG8)),2)</f>
        <v>3523.64</v>
      </c>
      <c r="AI8" s="103"/>
      <c r="AJ8" s="102">
        <f>AH8+AI8</f>
        <v>3523.64</v>
      </c>
      <c r="AK8" s="104"/>
      <c r="AL8" s="102">
        <f>AJ8+AG8+AK8</f>
        <v>3523.64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59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47769.0909090909</v>
      </c>
      <c r="M9" s="74">
        <f t="shared" si="0"/>
        <v>1132.48</v>
      </c>
      <c r="N9" s="74">
        <f t="shared" si="0"/>
        <v>330.56</v>
      </c>
      <c r="O9" s="74">
        <f t="shared" si="0"/>
        <v>38.67</v>
      </c>
      <c r="P9" s="74">
        <f t="shared" si="0"/>
        <v>459</v>
      </c>
      <c r="Q9" s="74">
        <f t="shared" si="0"/>
        <v>1960.71</v>
      </c>
      <c r="R9" s="74">
        <f t="shared" si="0"/>
        <v>0</v>
      </c>
      <c r="S9" s="74">
        <f t="shared" si="0"/>
        <v>192453.850909091</v>
      </c>
      <c r="T9" s="74">
        <f t="shared" si="0"/>
        <v>110000</v>
      </c>
      <c r="U9" s="74">
        <f t="shared" si="0"/>
        <v>10576.72</v>
      </c>
      <c r="V9" s="74">
        <f t="shared" si="0"/>
        <v>0</v>
      </c>
      <c r="W9" s="74">
        <f t="shared" si="0"/>
        <v>0</v>
      </c>
      <c r="X9" s="74">
        <f t="shared" si="0"/>
        <v>7000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7000</v>
      </c>
      <c r="AC9" s="74">
        <f t="shared" si="0"/>
        <v>0</v>
      </c>
      <c r="AD9" s="74">
        <f t="shared" si="0"/>
        <v>64877.13</v>
      </c>
      <c r="AE9" s="74">
        <f t="shared" si="0"/>
        <v>2605.35</v>
      </c>
      <c r="AF9" s="74">
        <f t="shared" si="0"/>
        <v>1352.06</v>
      </c>
      <c r="AG9" s="74">
        <f t="shared" si="0"/>
        <v>1273.99</v>
      </c>
      <c r="AH9" s="74">
        <f t="shared" si="0"/>
        <v>44534.39</v>
      </c>
      <c r="AI9" s="105">
        <f t="shared" si="0"/>
        <v>0</v>
      </c>
      <c r="AJ9" s="74">
        <f t="shared" si="0"/>
        <v>44534.39</v>
      </c>
      <c r="AK9" s="74">
        <f t="shared" si="0"/>
        <v>0</v>
      </c>
      <c r="AL9" s="74">
        <f t="shared" si="0"/>
        <v>45808.38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29</v>
      </c>
      <c r="C13" s="47" t="s">
        <v>60</v>
      </c>
      <c r="D13" s="47" t="s">
        <v>30</v>
      </c>
      <c r="E13" s="47" t="s">
        <v>61</v>
      </c>
      <c r="AD13" s="10"/>
    </row>
    <row r="14" ht="18.75" customHeight="1" spans="2:5">
      <c r="B14" s="48">
        <f>AJ9</f>
        <v>44534.39</v>
      </c>
      <c r="C14" s="48">
        <f>AG9</f>
        <v>1273.99</v>
      </c>
      <c r="D14" s="48">
        <f>AK9</f>
        <v>0</v>
      </c>
      <c r="E14" s="48">
        <f>B14+C14+D14</f>
        <v>45808.38</v>
      </c>
    </row>
    <row r="15" spans="2:5">
      <c r="B15" s="49"/>
      <c r="C15" s="49"/>
      <c r="D15" s="49"/>
      <c r="E15" s="49">
        <f>社保1!BC23</f>
        <v>15630.97</v>
      </c>
    </row>
    <row r="16" s="14" customFormat="1" spans="1:35">
      <c r="A16" s="50" t="s">
        <v>62</v>
      </c>
      <c r="B16" s="51" t="s">
        <v>63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64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65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66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67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68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69</v>
      </c>
    </row>
    <row r="24" spans="2:2">
      <c r="B24" s="59" t="s">
        <v>70</v>
      </c>
    </row>
    <row r="25" spans="2:2">
      <c r="B25" s="59" t="s">
        <v>71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0" priority="2" stopIfTrue="1"/>
  </conditionalFormatting>
  <conditionalFormatting sqref="B16:B20">
    <cfRule type="duplicateValues" dxfId="0" priority="3" stopIfTrue="1"/>
  </conditionalFormatting>
  <conditionalFormatting sqref="B24:B25">
    <cfRule type="duplicateValues" dxfId="0" priority="1" stopIfTrue="1"/>
  </conditionalFormatting>
  <conditionalFormatting sqref="C13:C15">
    <cfRule type="duplicateValues" dxfId="0" priority="4" stopIfTrue="1"/>
    <cfRule type="expression" dxfId="1" priority="5" stopIfTrue="1">
      <formula>AND(COUNTIF($B$9:$B$65445,C13)+COUNTIF($B$1:$B$3,C13)&gt;1,NOT(ISBLANK(C13)))</formula>
    </cfRule>
    <cfRule type="expression" dxfId="1" priority="6" stopIfTrue="1">
      <formula>AND(COUNTIF($B$20:$B$65396,C13)+COUNTIF($B$1:$B$19,C13)&gt;1,NOT(ISBLANK(C13)))</formula>
    </cfRule>
    <cfRule type="expression" dxfId="1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18" hidden="1" customWidth="1"/>
    <col min="2" max="2" width="9.375" style="119" hidden="1" customWidth="1"/>
    <col min="3" max="3" width="9.625" style="119" hidden="1" customWidth="1"/>
    <col min="4" max="4" width="13.125" style="119" hidden="1" customWidth="1"/>
    <col min="5" max="5" width="25.75" style="118" hidden="1" customWidth="1"/>
    <col min="6" max="6" width="29.375" style="118" hidden="1" customWidth="1"/>
    <col min="7" max="7" width="10.25" style="120" hidden="1" customWidth="1"/>
    <col min="8" max="9" width="8.5" style="118" hidden="1" customWidth="1"/>
    <col min="10" max="10" width="8.5" style="118" customWidth="1"/>
    <col min="11" max="11" width="18" style="118" customWidth="1"/>
    <col min="12" max="12" width="11.25" style="118" customWidth="1"/>
    <col min="13" max="13" width="12.25" style="118" customWidth="1"/>
    <col min="14" max="14" width="8.5" style="118" customWidth="1"/>
    <col min="15" max="15" width="10.25" style="118" customWidth="1"/>
    <col min="16" max="16" width="8.5" style="118" customWidth="1"/>
    <col min="17" max="17" width="8.5" style="121" customWidth="1"/>
    <col min="18" max="18" width="10.25" style="119" customWidth="1"/>
    <col min="19" max="19" width="12.25" style="118" customWidth="1"/>
    <col min="20" max="23" width="12.5" style="118" customWidth="1"/>
    <col min="24" max="24" width="10.75" style="118" customWidth="1"/>
    <col min="25" max="25" width="12.5" style="118" customWidth="1"/>
    <col min="26" max="26" width="14.125" style="118" customWidth="1"/>
    <col min="27" max="27" width="12.5" style="118" customWidth="1"/>
    <col min="28" max="28" width="16.25" style="118" customWidth="1"/>
    <col min="29" max="29" width="12.5" style="118" customWidth="1"/>
    <col min="30" max="30" width="16.125" style="118" customWidth="1"/>
    <col min="31" max="31" width="12.25" style="118" customWidth="1"/>
    <col min="32" max="33" width="16.125" style="118" customWidth="1"/>
    <col min="34" max="34" width="20.5" style="118" customWidth="1"/>
    <col min="35" max="35" width="8.5" style="118" customWidth="1"/>
    <col min="36" max="36" width="5" style="118" customWidth="1"/>
    <col min="37" max="37" width="10.25" style="118" customWidth="1"/>
    <col min="38" max="38" width="14.25" style="122" customWidth="1"/>
    <col min="39" max="39" width="11.5" style="122" customWidth="1"/>
    <col min="40" max="40" width="13.875" style="122" customWidth="1"/>
    <col min="41" max="41" width="13.625" style="122" customWidth="1"/>
    <col min="42" max="16384" width="9" style="118"/>
  </cols>
  <sheetData>
    <row r="1" s="113" customFormat="1" ht="16.5" spans="1:41">
      <c r="A1" s="123" t="s">
        <v>2</v>
      </c>
      <c r="B1" s="124" t="s">
        <v>185</v>
      </c>
      <c r="C1" s="123" t="s">
        <v>111</v>
      </c>
      <c r="D1" s="123" t="s">
        <v>186</v>
      </c>
      <c r="E1" s="123" t="s">
        <v>187</v>
      </c>
      <c r="F1" s="124" t="s">
        <v>108</v>
      </c>
      <c r="G1" s="125" t="s">
        <v>188</v>
      </c>
      <c r="H1" s="123" t="s">
        <v>110</v>
      </c>
      <c r="I1" s="123" t="s">
        <v>189</v>
      </c>
      <c r="J1" s="124" t="s">
        <v>112</v>
      </c>
      <c r="K1" s="124" t="s">
        <v>190</v>
      </c>
      <c r="L1" s="124" t="s">
        <v>191</v>
      </c>
      <c r="M1" s="124" t="s">
        <v>192</v>
      </c>
      <c r="N1" s="124" t="s">
        <v>193</v>
      </c>
      <c r="O1" s="124" t="s">
        <v>194</v>
      </c>
      <c r="P1" s="124" t="s">
        <v>195</v>
      </c>
      <c r="Q1" s="146" t="s">
        <v>196</v>
      </c>
      <c r="R1" s="124" t="s">
        <v>197</v>
      </c>
      <c r="S1" s="147" t="s">
        <v>198</v>
      </c>
      <c r="T1" s="148" t="s">
        <v>199</v>
      </c>
      <c r="U1" s="148"/>
      <c r="V1" s="148"/>
      <c r="W1" s="148"/>
      <c r="X1" s="148"/>
      <c r="Y1" s="148"/>
      <c r="Z1" s="147" t="s">
        <v>200</v>
      </c>
      <c r="AA1" s="124" t="s">
        <v>201</v>
      </c>
      <c r="AB1" s="124"/>
      <c r="AC1" s="124"/>
      <c r="AD1" s="123" t="s">
        <v>202</v>
      </c>
      <c r="AE1" s="123" t="s">
        <v>203</v>
      </c>
      <c r="AF1" s="123" t="s">
        <v>204</v>
      </c>
      <c r="AG1" s="123" t="s">
        <v>205</v>
      </c>
      <c r="AH1" s="123" t="s">
        <v>206</v>
      </c>
      <c r="AI1" s="123" t="s">
        <v>207</v>
      </c>
      <c r="AJ1" s="123" t="s">
        <v>94</v>
      </c>
      <c r="AK1" s="155" t="s">
        <v>208</v>
      </c>
      <c r="AL1" s="156" t="s">
        <v>209</v>
      </c>
      <c r="AM1" s="156" t="s">
        <v>210</v>
      </c>
      <c r="AN1" s="157" t="s">
        <v>211</v>
      </c>
      <c r="AO1" s="157" t="s">
        <v>212</v>
      </c>
    </row>
    <row r="2" s="114" customFormat="1" ht="24" spans="1:41">
      <c r="A2" s="123"/>
      <c r="B2" s="124"/>
      <c r="C2" s="123"/>
      <c r="D2" s="123"/>
      <c r="E2" s="123"/>
      <c r="F2" s="124"/>
      <c r="G2" s="125"/>
      <c r="H2" s="123"/>
      <c r="I2" s="123"/>
      <c r="J2" s="124"/>
      <c r="K2" s="124"/>
      <c r="L2" s="124"/>
      <c r="M2" s="124"/>
      <c r="N2" s="124"/>
      <c r="O2" s="124"/>
      <c r="P2" s="124"/>
      <c r="Q2" s="146"/>
      <c r="R2" s="124"/>
      <c r="S2" s="147"/>
      <c r="T2" s="148" t="s">
        <v>213</v>
      </c>
      <c r="U2" s="148" t="s">
        <v>214</v>
      </c>
      <c r="V2" s="148" t="s">
        <v>215</v>
      </c>
      <c r="W2" s="148" t="s">
        <v>216</v>
      </c>
      <c r="X2" s="148" t="s">
        <v>217</v>
      </c>
      <c r="Y2" s="148" t="s">
        <v>218</v>
      </c>
      <c r="Z2" s="147"/>
      <c r="AA2" s="148" t="s">
        <v>219</v>
      </c>
      <c r="AB2" s="148" t="s">
        <v>220</v>
      </c>
      <c r="AC2" s="148" t="s">
        <v>221</v>
      </c>
      <c r="AD2" s="123"/>
      <c r="AE2" s="123"/>
      <c r="AF2" s="123"/>
      <c r="AG2" s="123"/>
      <c r="AH2" s="123"/>
      <c r="AI2" s="123"/>
      <c r="AJ2" s="123"/>
      <c r="AK2" s="155"/>
      <c r="AL2" s="156"/>
      <c r="AM2" s="156"/>
      <c r="AN2" s="157"/>
      <c r="AO2" s="158"/>
    </row>
    <row r="3" s="115" customFormat="1" ht="14.25" spans="1:37">
      <c r="A3" s="126">
        <v>1</v>
      </c>
      <c r="B3" s="127">
        <v>44306</v>
      </c>
      <c r="C3" s="128"/>
      <c r="D3" s="128" t="s">
        <v>222</v>
      </c>
      <c r="E3" s="126"/>
      <c r="F3" s="129" t="s">
        <v>140</v>
      </c>
      <c r="G3" s="129"/>
      <c r="H3" s="126" t="s">
        <v>142</v>
      </c>
      <c r="I3" s="126"/>
      <c r="J3" s="137" t="s">
        <v>164</v>
      </c>
      <c r="K3" s="369" t="s">
        <v>165</v>
      </c>
      <c r="L3" s="126">
        <v>18607383005</v>
      </c>
      <c r="M3" s="129"/>
      <c r="N3" s="126" t="s">
        <v>223</v>
      </c>
      <c r="O3" s="126" t="s">
        <v>172</v>
      </c>
      <c r="P3" s="126" t="s">
        <v>224</v>
      </c>
      <c r="Q3" s="127">
        <v>44296</v>
      </c>
      <c r="R3" s="126" t="s">
        <v>225</v>
      </c>
      <c r="S3" s="129" t="s">
        <v>226</v>
      </c>
      <c r="T3" s="149">
        <v>2021.05</v>
      </c>
      <c r="U3" s="126">
        <v>4000</v>
      </c>
      <c r="V3" s="126">
        <v>4000</v>
      </c>
      <c r="W3" s="126">
        <v>4000</v>
      </c>
      <c r="X3" s="126">
        <v>4000</v>
      </c>
      <c r="Y3" s="126">
        <v>4000</v>
      </c>
      <c r="Z3" s="129" t="s">
        <v>226</v>
      </c>
      <c r="AA3" s="152" t="s">
        <v>227</v>
      </c>
      <c r="AB3" s="152" t="s">
        <v>228</v>
      </c>
      <c r="AC3" s="152" t="s">
        <v>229</v>
      </c>
      <c r="AD3" s="126" t="s">
        <v>230</v>
      </c>
      <c r="AE3" s="126"/>
      <c r="AF3" s="126"/>
      <c r="AG3" s="126"/>
      <c r="AH3" s="126"/>
      <c r="AI3" s="126"/>
      <c r="AJ3" s="126"/>
      <c r="AK3" s="12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16" customFormat="1" spans="1:37">
      <c r="A4" s="126"/>
      <c r="B4" s="127"/>
      <c r="C4" s="130"/>
      <c r="D4" s="128"/>
      <c r="E4" s="131"/>
      <c r="F4" s="129"/>
      <c r="G4" s="132"/>
      <c r="H4" s="131"/>
      <c r="I4" s="131"/>
      <c r="J4" s="139"/>
      <c r="K4" s="139"/>
      <c r="L4" s="131"/>
      <c r="M4" s="132"/>
      <c r="N4" s="131"/>
      <c r="O4" s="131"/>
      <c r="P4" s="126"/>
      <c r="Q4" s="133"/>
      <c r="R4" s="126"/>
      <c r="S4" s="129"/>
      <c r="T4" s="150"/>
      <c r="U4" s="131"/>
      <c r="V4" s="131"/>
      <c r="W4" s="131"/>
      <c r="X4" s="131"/>
      <c r="Y4" s="131"/>
      <c r="Z4" s="129"/>
      <c r="AA4" s="153"/>
      <c r="AB4" s="153"/>
      <c r="AC4" s="153"/>
      <c r="AD4" s="131"/>
      <c r="AE4" s="131"/>
      <c r="AF4" s="131"/>
      <c r="AG4" s="131"/>
      <c r="AH4" s="131"/>
      <c r="AI4" s="131"/>
      <c r="AJ4" s="131"/>
      <c r="AK4" s="12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16" customFormat="1" spans="1:37">
      <c r="A5" s="131"/>
      <c r="B5" s="133"/>
      <c r="C5" s="130"/>
      <c r="D5" s="130"/>
      <c r="E5" s="131"/>
      <c r="F5" s="132"/>
      <c r="G5" s="132"/>
      <c r="H5" s="131"/>
      <c r="I5" s="131"/>
      <c r="J5" s="140"/>
      <c r="K5" s="140"/>
      <c r="L5" s="131"/>
      <c r="M5" s="132"/>
      <c r="N5" s="131"/>
      <c r="O5" s="131"/>
      <c r="P5" s="131"/>
      <c r="Q5" s="133"/>
      <c r="R5" s="131"/>
      <c r="S5" s="132"/>
      <c r="T5" s="131"/>
      <c r="U5" s="131"/>
      <c r="V5" s="131"/>
      <c r="W5" s="131"/>
      <c r="X5" s="131"/>
      <c r="Y5" s="131"/>
      <c r="Z5" s="132"/>
      <c r="AA5" s="153"/>
      <c r="AB5" s="153"/>
      <c r="AC5" s="153"/>
      <c r="AD5" s="131"/>
      <c r="AE5" s="131"/>
      <c r="AF5" s="131"/>
      <c r="AG5" s="131"/>
      <c r="AH5" s="131"/>
      <c r="AI5" s="131"/>
      <c r="AJ5" s="131"/>
      <c r="AK5" s="132"/>
    </row>
    <row r="6" s="116" customFormat="1" spans="1:37">
      <c r="A6" s="131"/>
      <c r="B6" s="133"/>
      <c r="C6" s="130"/>
      <c r="D6" s="130"/>
      <c r="E6" s="131"/>
      <c r="F6" s="132"/>
      <c r="G6" s="132"/>
      <c r="H6" s="131"/>
      <c r="I6" s="131"/>
      <c r="J6" s="140"/>
      <c r="K6" s="140"/>
      <c r="L6" s="131"/>
      <c r="M6" s="132"/>
      <c r="N6" s="131"/>
      <c r="O6" s="131"/>
      <c r="P6" s="131"/>
      <c r="Q6" s="133"/>
      <c r="R6" s="131"/>
      <c r="S6" s="132"/>
      <c r="T6" s="131"/>
      <c r="U6" s="131"/>
      <c r="V6" s="131"/>
      <c r="W6" s="131"/>
      <c r="X6" s="131"/>
      <c r="Y6" s="131"/>
      <c r="Z6" s="132"/>
      <c r="AA6" s="153"/>
      <c r="AB6" s="153"/>
      <c r="AC6" s="153"/>
      <c r="AD6" s="131"/>
      <c r="AE6" s="131"/>
      <c r="AF6" s="131"/>
      <c r="AG6" s="131"/>
      <c r="AH6" s="131"/>
      <c r="AI6" s="131"/>
      <c r="AJ6" s="131"/>
      <c r="AK6" s="132"/>
    </row>
    <row r="7" s="116" customFormat="1" spans="1:37">
      <c r="A7" s="131"/>
      <c r="B7" s="133"/>
      <c r="C7" s="130"/>
      <c r="D7" s="130"/>
      <c r="E7" s="131"/>
      <c r="F7" s="132"/>
      <c r="G7" s="132"/>
      <c r="H7" s="131"/>
      <c r="I7" s="131"/>
      <c r="J7" s="140"/>
      <c r="K7" s="140"/>
      <c r="L7" s="131"/>
      <c r="M7" s="132"/>
      <c r="N7" s="131"/>
      <c r="O7" s="131"/>
      <c r="P7" s="131"/>
      <c r="Q7" s="133"/>
      <c r="R7" s="131"/>
      <c r="S7" s="132"/>
      <c r="T7" s="131"/>
      <c r="U7" s="131"/>
      <c r="V7" s="131"/>
      <c r="W7" s="131"/>
      <c r="X7" s="131"/>
      <c r="Y7" s="131"/>
      <c r="Z7" s="132"/>
      <c r="AA7" s="153"/>
      <c r="AB7" s="153"/>
      <c r="AC7" s="153"/>
      <c r="AD7" s="131"/>
      <c r="AE7" s="131"/>
      <c r="AF7" s="131"/>
      <c r="AG7" s="131"/>
      <c r="AH7" s="131"/>
      <c r="AI7" s="131"/>
      <c r="AJ7" s="131"/>
      <c r="AK7" s="132"/>
    </row>
    <row r="8" s="116" customFormat="1" spans="1:37">
      <c r="A8" s="131"/>
      <c r="B8" s="133"/>
      <c r="C8" s="130"/>
      <c r="D8" s="130"/>
      <c r="E8" s="131"/>
      <c r="F8" s="132"/>
      <c r="G8" s="132"/>
      <c r="H8" s="131"/>
      <c r="I8" s="131"/>
      <c r="J8" s="140" t="s">
        <v>231</v>
      </c>
      <c r="K8" s="140"/>
      <c r="L8" s="131"/>
      <c r="M8" s="132"/>
      <c r="N8" s="131"/>
      <c r="O8" s="131"/>
      <c r="P8" s="131"/>
      <c r="Q8" s="133"/>
      <c r="R8" s="131"/>
      <c r="S8" s="132"/>
      <c r="T8" s="131"/>
      <c r="U8" s="131"/>
      <c r="V8" s="131"/>
      <c r="W8" s="131"/>
      <c r="X8" s="131"/>
      <c r="Y8" s="131"/>
      <c r="Z8" s="132"/>
      <c r="AA8" s="153"/>
      <c r="AB8" s="153"/>
      <c r="AC8" s="153"/>
      <c r="AD8" s="131"/>
      <c r="AE8" s="131"/>
      <c r="AF8" s="131"/>
      <c r="AG8" s="131"/>
      <c r="AH8" s="131"/>
      <c r="AI8" s="131"/>
      <c r="AJ8" s="131"/>
      <c r="AK8" s="132"/>
    </row>
    <row r="9" s="116" customFormat="1" ht="12.75" spans="1:37">
      <c r="A9" s="131"/>
      <c r="B9" s="133"/>
      <c r="C9" s="130"/>
      <c r="D9" s="130"/>
      <c r="E9" s="131"/>
      <c r="F9" s="132"/>
      <c r="G9" s="132"/>
      <c r="H9" s="131"/>
      <c r="I9" s="131"/>
      <c r="J9" s="131" t="s">
        <v>149</v>
      </c>
      <c r="K9" s="141" t="s">
        <v>142</v>
      </c>
      <c r="L9" s="142" t="s">
        <v>150</v>
      </c>
      <c r="M9" s="143" t="s">
        <v>57</v>
      </c>
      <c r="N9" s="366" t="s">
        <v>58</v>
      </c>
      <c r="O9" s="131"/>
      <c r="P9" s="131"/>
      <c r="Q9" s="151">
        <v>202106</v>
      </c>
      <c r="R9" s="131"/>
      <c r="S9" s="132"/>
      <c r="T9" s="131"/>
      <c r="U9" s="131"/>
      <c r="V9" s="131"/>
      <c r="W9" s="131"/>
      <c r="X9" s="131"/>
      <c r="Y9" s="131"/>
      <c r="Z9" s="132"/>
      <c r="AA9" s="153"/>
      <c r="AB9" s="153"/>
      <c r="AC9" s="153"/>
      <c r="AD9" s="131"/>
      <c r="AE9" s="131"/>
      <c r="AF9" s="131"/>
      <c r="AG9" s="131"/>
      <c r="AH9" s="131"/>
      <c r="AI9" s="131"/>
      <c r="AJ9" s="131"/>
      <c r="AK9" s="132"/>
    </row>
    <row r="10" s="116" customFormat="1" spans="1:37">
      <c r="A10" s="131"/>
      <c r="B10" s="133"/>
      <c r="C10" s="130"/>
      <c r="D10" s="130"/>
      <c r="E10" s="131"/>
      <c r="F10" s="132"/>
      <c r="G10" s="132"/>
      <c r="H10" s="131"/>
      <c r="I10" s="131"/>
      <c r="J10" s="140"/>
      <c r="K10" s="140"/>
      <c r="L10" s="131"/>
      <c r="M10" s="132"/>
      <c r="N10" s="131"/>
      <c r="O10" s="131"/>
      <c r="P10" s="131"/>
      <c r="Q10" s="133"/>
      <c r="R10" s="131"/>
      <c r="S10" s="132"/>
      <c r="T10" s="131"/>
      <c r="U10" s="131"/>
      <c r="V10" s="131"/>
      <c r="W10" s="131"/>
      <c r="X10" s="131"/>
      <c r="Y10" s="131"/>
      <c r="Z10" s="132"/>
      <c r="AA10" s="153"/>
      <c r="AB10" s="153"/>
      <c r="AC10" s="153"/>
      <c r="AD10" s="131"/>
      <c r="AE10" s="131"/>
      <c r="AF10" s="131"/>
      <c r="AG10" s="131"/>
      <c r="AH10" s="131"/>
      <c r="AI10" s="131"/>
      <c r="AJ10" s="131"/>
      <c r="AK10" s="132"/>
    </row>
    <row r="11" s="116" customFormat="1" spans="1:37">
      <c r="A11" s="131"/>
      <c r="B11" s="133"/>
      <c r="C11" s="130"/>
      <c r="D11" s="130"/>
      <c r="E11" s="131"/>
      <c r="F11" s="132"/>
      <c r="G11" s="132"/>
      <c r="H11" s="131"/>
      <c r="I11" s="131"/>
      <c r="J11" s="140"/>
      <c r="K11" s="140"/>
      <c r="L11" s="131"/>
      <c r="M11" s="132"/>
      <c r="N11" s="131"/>
      <c r="O11" s="131"/>
      <c r="P11" s="131"/>
      <c r="Q11" s="133"/>
      <c r="R11" s="131"/>
      <c r="S11" s="132"/>
      <c r="T11" s="131"/>
      <c r="U11" s="131"/>
      <c r="V11" s="131"/>
      <c r="W11" s="131"/>
      <c r="X11" s="131"/>
      <c r="Y11" s="131"/>
      <c r="Z11" s="132"/>
      <c r="AA11" s="153"/>
      <c r="AB11" s="153"/>
      <c r="AC11" s="153"/>
      <c r="AD11" s="131"/>
      <c r="AE11" s="131"/>
      <c r="AF11" s="131"/>
      <c r="AG11" s="131"/>
      <c r="AH11" s="131"/>
      <c r="AI11" s="131"/>
      <c r="AJ11" s="131"/>
      <c r="AK11" s="132"/>
    </row>
    <row r="12" s="117" customFormat="1" spans="1:41">
      <c r="A12" s="134"/>
      <c r="B12" s="135"/>
      <c r="C12" s="130"/>
      <c r="D12" s="130"/>
      <c r="E12" s="131"/>
      <c r="F12" s="132"/>
      <c r="G12" s="136"/>
      <c r="H12" s="134"/>
      <c r="I12" s="131"/>
      <c r="J12" s="140"/>
      <c r="K12" s="140"/>
      <c r="L12" s="131"/>
      <c r="M12" s="132"/>
      <c r="N12" s="134"/>
      <c r="O12" s="134"/>
      <c r="P12" s="134"/>
      <c r="Q12" s="134"/>
      <c r="R12" s="134"/>
      <c r="S12" s="132"/>
      <c r="T12" s="134"/>
      <c r="U12" s="134"/>
      <c r="V12" s="134"/>
      <c r="W12" s="134"/>
      <c r="X12" s="134"/>
      <c r="Y12" s="134"/>
      <c r="Z12" s="132"/>
      <c r="AA12" s="154"/>
      <c r="AB12" s="154"/>
      <c r="AC12" s="154"/>
      <c r="AD12" s="134"/>
      <c r="AE12" s="134"/>
      <c r="AF12" s="134"/>
      <c r="AG12" s="134"/>
      <c r="AH12" s="134"/>
      <c r="AI12" s="134"/>
      <c r="AJ12" s="134"/>
      <c r="AK12" s="132"/>
      <c r="AL12" s="116"/>
      <c r="AM12" s="116"/>
      <c r="AN12" s="116"/>
      <c r="AO12" s="116"/>
    </row>
    <row r="13" s="117" customFormat="1" spans="1:41">
      <c r="A13" s="134"/>
      <c r="B13" s="135"/>
      <c r="C13" s="130"/>
      <c r="D13" s="130"/>
      <c r="E13" s="131"/>
      <c r="F13" s="132"/>
      <c r="G13" s="136"/>
      <c r="H13" s="134"/>
      <c r="I13" s="134"/>
      <c r="J13" s="145"/>
      <c r="K13" s="145"/>
      <c r="L13" s="134"/>
      <c r="M13" s="132"/>
      <c r="N13" s="134"/>
      <c r="O13" s="134"/>
      <c r="P13" s="134"/>
      <c r="Q13" s="134"/>
      <c r="R13" s="134"/>
      <c r="S13" s="132"/>
      <c r="T13" s="134"/>
      <c r="U13" s="134"/>
      <c r="V13" s="134"/>
      <c r="W13" s="134"/>
      <c r="X13" s="134"/>
      <c r="Y13" s="134"/>
      <c r="Z13" s="132"/>
      <c r="AA13" s="154"/>
      <c r="AB13" s="154"/>
      <c r="AC13" s="154"/>
      <c r="AD13" s="134"/>
      <c r="AE13" s="134"/>
      <c r="AF13" s="134"/>
      <c r="AG13" s="134"/>
      <c r="AH13" s="134"/>
      <c r="AI13" s="134"/>
      <c r="AJ13" s="134"/>
      <c r="AK13" s="132"/>
      <c r="AL13" s="116"/>
      <c r="AM13" s="116"/>
      <c r="AN13" s="116"/>
      <c r="AO13" s="116"/>
    </row>
    <row r="14" s="117" customFormat="1" spans="1:41">
      <c r="A14" s="134"/>
      <c r="B14" s="135"/>
      <c r="C14" s="130"/>
      <c r="D14" s="130"/>
      <c r="E14" s="131"/>
      <c r="F14" s="132"/>
      <c r="G14" s="136"/>
      <c r="H14" s="134"/>
      <c r="I14" s="134"/>
      <c r="J14" s="145"/>
      <c r="K14" s="145"/>
      <c r="L14" s="134"/>
      <c r="M14" s="132"/>
      <c r="N14" s="134"/>
      <c r="O14" s="134"/>
      <c r="P14" s="134"/>
      <c r="Q14" s="134"/>
      <c r="R14" s="134"/>
      <c r="S14" s="132"/>
      <c r="T14" s="134"/>
      <c r="U14" s="134"/>
      <c r="V14" s="134"/>
      <c r="W14" s="134"/>
      <c r="X14" s="134"/>
      <c r="Y14" s="134"/>
      <c r="Z14" s="132"/>
      <c r="AA14" s="154"/>
      <c r="AB14" s="154"/>
      <c r="AC14" s="154"/>
      <c r="AD14" s="134"/>
      <c r="AE14" s="134"/>
      <c r="AF14" s="134"/>
      <c r="AG14" s="134"/>
      <c r="AH14" s="134"/>
      <c r="AI14" s="134"/>
      <c r="AJ14" s="134"/>
      <c r="AK14" s="132"/>
      <c r="AL14" s="116"/>
      <c r="AM14" s="116"/>
      <c r="AN14" s="116"/>
      <c r="AO14" s="116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0" priority="3"/>
  </conditionalFormatting>
  <conditionalFormatting sqref="J5:J8 J10:J11">
    <cfRule type="duplicateValues" dxfId="0" priority="2"/>
    <cfRule type="duplicateValues" dxfId="0" priority="1"/>
  </conditionalFormatting>
  <dataValidations count="7"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P3:P4 P5:P11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8660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L4+IFERROR(VLOOKUP($E:$E,'（居民）工资表-7月'!$E:$S,15,0),0)</f>
        <v>68200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4159.2</v>
      </c>
      <c r="V4" s="70"/>
      <c r="W4" s="70"/>
      <c r="X4" s="70">
        <v>8000</v>
      </c>
      <c r="Y4" s="70"/>
      <c r="Z4" s="70"/>
      <c r="AA4" s="70"/>
      <c r="AB4" s="90">
        <f>ROUND(SUM(V4:AA4),2)</f>
        <v>8000</v>
      </c>
      <c r="AC4" s="90">
        <f>R4+IFERROR(VLOOKUP($E:$E,'（居民）工资表-7月'!$E:$AC,25,0),0)</f>
        <v>0</v>
      </c>
      <c r="AD4" s="93">
        <f>ROUND(S4-T4-U4-AB4-AC4,2)</f>
        <v>16040.8</v>
      </c>
      <c r="AE4" s="94">
        <f>ROUND(MAX((AD4)*{0.03;0.1;0.2;0.25;0.3;0.35;0.45}-{0;2520;16920;31920;52920;85920;181920},0),2)</f>
        <v>481.22</v>
      </c>
      <c r="AF4" s="95">
        <f>IFERROR(VLOOKUP(E:E,'（居民）工资表-7月'!E:AF,28,0)+VLOOKUP(E:E,'（居民）工资表-7月'!E:AG,29,0),0)</f>
        <v>417.02</v>
      </c>
      <c r="AG4" s="95">
        <f>IF((AE4-AF4)&lt;0,0,AE4-AF4)</f>
        <v>64.2</v>
      </c>
      <c r="AH4" s="102">
        <f>ROUND(IF((L4-Q4-AG4)&lt;0,0,(L4-Q4-AG4)),2)</f>
        <v>8075.9</v>
      </c>
      <c r="AI4" s="103"/>
      <c r="AJ4" s="102">
        <f>AH4+AI4</f>
        <v>8075.9</v>
      </c>
      <c r="AK4" s="104"/>
      <c r="AL4" s="102">
        <f>AJ4+AG4+AK4</f>
        <v>8140.1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158</v>
      </c>
      <c r="D5" s="37" t="s">
        <v>52</v>
      </c>
      <c r="E5" s="37" t="s">
        <v>159</v>
      </c>
      <c r="F5" s="38" t="s">
        <v>182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L5+IFERROR(VLOOKUP($E:$E,'（居民）工资表-7月'!$E:$S,15,0),0)</f>
        <v>35061</v>
      </c>
      <c r="T5" s="91">
        <f>5000+IFERROR(VLOOKUP($E:$E,'（居民）工资表-7月'!$E:$T,16,0),0)</f>
        <v>25000</v>
      </c>
      <c r="U5" s="91">
        <f>Q5+IFERROR(VLOOKUP($E:$E,'（居民）工资表-7月'!$E:$U,17,0),0)</f>
        <v>2360.76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3">
        <f>ROUND(S5-T5-U5-AB5-AC5,2)</f>
        <v>7700.24</v>
      </c>
      <c r="AE5" s="94">
        <f>ROUND(MAX((AD5)*{0.03;0.1;0.2;0.25;0.3;0.35;0.45}-{0;2520;16920;31920;52920;85920;181920},0),2)</f>
        <v>231.01</v>
      </c>
      <c r="AF5" s="95">
        <f>IFERROR(VLOOKUP(E:E,'（居民）工资表-7月'!E:AF,28,0)+VLOOKUP(E:E,'（居民）工资表-7月'!E:AG,29,0),0)</f>
        <v>185.18</v>
      </c>
      <c r="AG5" s="95">
        <f>IF((AE5-AF5)&lt;0,0,AE5-AF5)</f>
        <v>45.83</v>
      </c>
      <c r="AH5" s="102">
        <f>ROUND(IF((L5-Q5-AG5)&lt;0,0,(L5-Q5-AG5)),2)</f>
        <v>6481.71</v>
      </c>
      <c r="AI5" s="103"/>
      <c r="AJ5" s="102">
        <f>AH5+AI5</f>
        <v>6481.71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164</v>
      </c>
      <c r="D6" s="37" t="s">
        <v>52</v>
      </c>
      <c r="E6" s="368" t="s">
        <v>165</v>
      </c>
      <c r="F6" s="38" t="s">
        <v>182</v>
      </c>
      <c r="G6" s="39">
        <v>18607383005</v>
      </c>
      <c r="H6" s="40"/>
      <c r="I6" s="40"/>
      <c r="J6" s="69"/>
      <c r="K6" s="40"/>
      <c r="L6" s="70">
        <v>24800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L6+IFERROR(VLOOKUP($E:$E,'（居民）工资表-7月'!$E:$S,15,0),0)</f>
        <v>86504.76</v>
      </c>
      <c r="T6" s="91">
        <f>5000+IFERROR(VLOOKUP($E:$E,'（居民）工资表-7月'!$E:$T,16,0),0)</f>
        <v>20000</v>
      </c>
      <c r="U6" s="91">
        <f>Q6+IFERROR(VLOOKUP($E:$E,'（居民）工资表-7月'!$E:$U,17,0),0)</f>
        <v>2534.67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R6+IFERROR(VLOOKUP($E:$E,'（居民）工资表-7月'!$E:$AC,25,0),0)</f>
        <v>0</v>
      </c>
      <c r="AD6" s="93">
        <f>ROUND(S6-T6-U6-AB6-AC6,2)</f>
        <v>63970.09</v>
      </c>
      <c r="AE6" s="94">
        <f>ROUND(MAX((AD6)*{0.03;0.1;0.2;0.25;0.3;0.35;0.45}-{0;2520;16920;31920;52920;85920;181920},0),2)</f>
        <v>3877.01</v>
      </c>
      <c r="AF6" s="95">
        <f>IFERROR(VLOOKUP(E:E,'（居民）工资表-7月'!E:AF,28,0)+VLOOKUP(E:E,'（居民）工资表-7月'!E:AG,29,0),0)</f>
        <v>1958.21</v>
      </c>
      <c r="AG6" s="95">
        <f>IF((AE6-AF6)&lt;0,0,AE6-AF6)</f>
        <v>1918.8</v>
      </c>
      <c r="AH6" s="102">
        <f>ROUND(IF((L6-Q6-AG6)&lt;0,0,(L6-Q6-AG6)),2)</f>
        <v>22269.2</v>
      </c>
      <c r="AI6" s="103"/>
      <c r="AJ6" s="102">
        <f>AH6+AI6</f>
        <v>22269.2</v>
      </c>
      <c r="AK6" s="104"/>
      <c r="AL6" s="102">
        <f>AJ6+AG6+AK6</f>
        <v>24188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174</v>
      </c>
      <c r="D7" s="37" t="s">
        <v>52</v>
      </c>
      <c r="E7" s="368" t="s">
        <v>184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L7+IFERROR(VLOOKUP($E:$E,'（居民）工资表-7月'!$E:$S,15,0),0)</f>
        <v>8083.63636363636</v>
      </c>
      <c r="T7" s="91">
        <f>5000+IFERROR(VLOOKUP($E:$E,'（居民）工资表-7月'!$E:$T,16,0),0)</f>
        <v>10000</v>
      </c>
      <c r="U7" s="91">
        <f>Q7+IFERROR(VLOOKUP($E:$E,'（居民）工资表-7月'!$E:$U,17,0),0)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R7+IFERROR(VLOOKUP($E:$E,'（居民）工资表-7月'!$E:$AC,25,0),0)</f>
        <v>0</v>
      </c>
      <c r="AD7" s="93">
        <f>ROUND(S7-T7-U7-AB7-AC7,2)</f>
        <v>-1916.36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44941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197849.396363636</v>
      </c>
      <c r="T8" s="74">
        <f t="shared" si="0"/>
        <v>95000</v>
      </c>
      <c r="U8" s="74">
        <f t="shared" si="0"/>
        <v>9054.63</v>
      </c>
      <c r="V8" s="74">
        <f t="shared" si="0"/>
        <v>0</v>
      </c>
      <c r="W8" s="74">
        <f t="shared" si="0"/>
        <v>0</v>
      </c>
      <c r="X8" s="74">
        <f t="shared" si="0"/>
        <v>8000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8000</v>
      </c>
      <c r="AC8" s="74">
        <f t="shared" si="0"/>
        <v>0</v>
      </c>
      <c r="AD8" s="74">
        <f t="shared" si="0"/>
        <v>85794.77</v>
      </c>
      <c r="AE8" s="74">
        <f t="shared" si="0"/>
        <v>4589.24</v>
      </c>
      <c r="AF8" s="74">
        <f t="shared" si="0"/>
        <v>2560.41</v>
      </c>
      <c r="AG8" s="74">
        <f t="shared" si="0"/>
        <v>2028.83</v>
      </c>
      <c r="AH8" s="74">
        <f t="shared" si="0"/>
        <v>41386.81</v>
      </c>
      <c r="AI8" s="105">
        <f t="shared" si="0"/>
        <v>0</v>
      </c>
      <c r="AJ8" s="74">
        <f t="shared" si="0"/>
        <v>41386.81</v>
      </c>
      <c r="AK8" s="74">
        <f t="shared" si="0"/>
        <v>0</v>
      </c>
      <c r="AL8" s="74">
        <f t="shared" si="0"/>
        <v>43415.64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41386.81</v>
      </c>
      <c r="C13" s="48">
        <f>AG8</f>
        <v>2028.83</v>
      </c>
      <c r="D13" s="48">
        <f>AK8</f>
        <v>0</v>
      </c>
      <c r="E13" s="48">
        <f>B13+C13+D13</f>
        <v>43415.64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9780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L4+IFERROR(VLOOKUP($E:$E,'（居民）工资表-8月'!$E:$S,15,0),0)</f>
        <v>77980</v>
      </c>
      <c r="T4" s="91">
        <f>5000+IFERROR(VLOOKUP($E:$E,'（居民）工资表-8月'!$E:$T,16,0),0)</f>
        <v>45000</v>
      </c>
      <c r="U4" s="91">
        <f>Q4+IFERROR(VLOOKUP($E:$E,'（居民）工资表-8月'!$E:$U,17,0),0)</f>
        <v>4679.1</v>
      </c>
      <c r="V4" s="70"/>
      <c r="W4" s="70"/>
      <c r="X4" s="70">
        <v>9000</v>
      </c>
      <c r="Y4" s="70"/>
      <c r="Z4" s="70"/>
      <c r="AA4" s="70"/>
      <c r="AB4" s="90">
        <f>ROUND(SUM(V4:AA4),2)</f>
        <v>9000</v>
      </c>
      <c r="AC4" s="90">
        <f>R4+IFERROR(VLOOKUP($E:$E,'（居民）工资表-8月'!$E:$AC,25,0),0)</f>
        <v>0</v>
      </c>
      <c r="AD4" s="93">
        <f>ROUND(S4-T4-U4-AB4-AC4,2)</f>
        <v>19300.9</v>
      </c>
      <c r="AE4" s="94">
        <f>ROUND(MAX((AD4)*{0.03;0.1;0.2;0.25;0.3;0.35;0.45}-{0;2520;16920;31920;52920;85920;181920},0),2)</f>
        <v>579.03</v>
      </c>
      <c r="AF4" s="95">
        <f>IFERROR(VLOOKUP(E:E,'（居民）工资表-8月'!E:AF,28,0)+VLOOKUP(E:E,'（居民）工资表-8月'!E:AG,29,0),0)</f>
        <v>481.22</v>
      </c>
      <c r="AG4" s="95">
        <f>IF((AE4-AF4)&lt;0,0,AE4-AF4)</f>
        <v>97.8099999999999</v>
      </c>
      <c r="AH4" s="102">
        <f>ROUND(IF((L4-Q4-AG4)&lt;0,0,(L4-Q4-AG4)),2)</f>
        <v>9162.29</v>
      </c>
      <c r="AI4" s="103"/>
      <c r="AJ4" s="102">
        <f>AH4+AI4</f>
        <v>9162.29</v>
      </c>
      <c r="AK4" s="104"/>
      <c r="AL4" s="102">
        <f>AJ4+AG4+AK4</f>
        <v>9260.1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158</v>
      </c>
      <c r="D5" s="37" t="s">
        <v>52</v>
      </c>
      <c r="E5" s="37" t="s">
        <v>159</v>
      </c>
      <c r="F5" s="38" t="s">
        <v>182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L5+IFERROR(VLOOKUP($E:$E,'（居民）工资表-8月'!$E:$S,15,0),0)</f>
        <v>41982</v>
      </c>
      <c r="T5" s="91">
        <f>5000+IFERROR(VLOOKUP($E:$E,'（居民）工资表-8月'!$E:$T,16,0),0)</f>
        <v>30000</v>
      </c>
      <c r="U5" s="91">
        <f>Q5+IFERROR(VLOOKUP($E:$E,'（居民）工资表-8月'!$E:$U,17,0),0)</f>
        <v>2754.22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R5+IFERROR(VLOOKUP($E:$E,'（居民）工资表-8月'!$E:$AC,25,0),0)</f>
        <v>0</v>
      </c>
      <c r="AD5" s="93">
        <f>ROUND(S5-T5-U5-AB5-AC5,2)</f>
        <v>9227.78</v>
      </c>
      <c r="AE5" s="94">
        <f>ROUND(MAX((AD5)*{0.03;0.1;0.2;0.25;0.3;0.35;0.45}-{0;2520;16920;31920;52920;85920;181920},0),2)</f>
        <v>276.83</v>
      </c>
      <c r="AF5" s="95">
        <f>IFERROR(VLOOKUP(E:E,'（居民）工资表-8月'!E:AF,28,0)+VLOOKUP(E:E,'（居民）工资表-8月'!E:AG,29,0),0)</f>
        <v>231.01</v>
      </c>
      <c r="AG5" s="95">
        <f>IF((AE5-AF5)&lt;0,0,AE5-AF5)</f>
        <v>45.82</v>
      </c>
      <c r="AH5" s="102">
        <f>ROUND(IF((L5-Q5-AG5)&lt;0,0,(L5-Q5-AG5)),2)</f>
        <v>6481.72</v>
      </c>
      <c r="AI5" s="103"/>
      <c r="AJ5" s="102">
        <f>AH5+AI5</f>
        <v>6481.72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164</v>
      </c>
      <c r="D6" s="37" t="s">
        <v>52</v>
      </c>
      <c r="E6" s="368" t="s">
        <v>165</v>
      </c>
      <c r="F6" s="38" t="s">
        <v>182</v>
      </c>
      <c r="G6" s="39">
        <v>18607383005</v>
      </c>
      <c r="H6" s="40"/>
      <c r="I6" s="40"/>
      <c r="J6" s="69"/>
      <c r="K6" s="40"/>
      <c r="L6" s="70">
        <v>22800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L6+IFERROR(VLOOKUP($E:$E,'（居民）工资表-8月'!$E:$S,15,0),0)</f>
        <v>109304.76</v>
      </c>
      <c r="T6" s="91">
        <f>5000+IFERROR(VLOOKUP($E:$E,'（居民）工资表-8月'!$E:$T,16,0),0)</f>
        <v>25000</v>
      </c>
      <c r="U6" s="91">
        <f>Q6+IFERROR(VLOOKUP($E:$E,'（居民）工资表-8月'!$E:$U,17,0),0)</f>
        <v>3146.67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R6+IFERROR(VLOOKUP($E:$E,'（居民）工资表-8月'!$E:$AC,25,0),0)</f>
        <v>0</v>
      </c>
      <c r="AD6" s="93">
        <f>ROUND(S6-T6-U6-AB6-AC6,2)</f>
        <v>81158.09</v>
      </c>
      <c r="AE6" s="94">
        <f>ROUND(MAX((AD6)*{0.03;0.1;0.2;0.25;0.3;0.35;0.45}-{0;2520;16920;31920;52920;85920;181920},0),2)</f>
        <v>5595.81</v>
      </c>
      <c r="AF6" s="95">
        <f>IFERROR(VLOOKUP(E:E,'（居民）工资表-8月'!E:AF,28,0)+VLOOKUP(E:E,'（居民）工资表-8月'!E:AG,29,0),0)</f>
        <v>3877.01</v>
      </c>
      <c r="AG6" s="95">
        <f>IF((AE6-AF6)&lt;0,0,AE6-AF6)</f>
        <v>1718.8</v>
      </c>
      <c r="AH6" s="102">
        <f>ROUND(IF((L6-Q6-AG6)&lt;0,0,(L6-Q6-AG6)),2)</f>
        <v>20469.2</v>
      </c>
      <c r="AI6" s="103"/>
      <c r="AJ6" s="102">
        <f>AH6+AI6</f>
        <v>20469.2</v>
      </c>
      <c r="AK6" s="104"/>
      <c r="AL6" s="102">
        <f>AJ6+AG6+AK6</f>
        <v>22188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174</v>
      </c>
      <c r="D7" s="37" t="s">
        <v>52</v>
      </c>
      <c r="E7" s="368" t="s">
        <v>184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L7+IFERROR(VLOOKUP($E:$E,'（居民）工资表-8月'!$E:$S,15,0),0)</f>
        <v>12643.6363636364</v>
      </c>
      <c r="T7" s="91">
        <f>5000+IFERROR(VLOOKUP($E:$E,'（居民）工资表-8月'!$E:$T,16,0),0)</f>
        <v>15000</v>
      </c>
      <c r="U7" s="91">
        <f>Q7+IFERROR(VLOOKUP($E:$E,'（居民）工资表-8月'!$E:$U,17,0),0)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R7+IFERROR(VLOOKUP($E:$E,'（居民）工资表-8月'!$E:$AC,25,0),0)</f>
        <v>0</v>
      </c>
      <c r="AD7" s="93">
        <f>ROUND(S7-T7-U7-AB7-AC7,2)</f>
        <v>-2356.36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44061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241910.396363636</v>
      </c>
      <c r="T8" s="74">
        <f t="shared" si="0"/>
        <v>115000</v>
      </c>
      <c r="U8" s="74">
        <f t="shared" si="0"/>
        <v>10579.99</v>
      </c>
      <c r="V8" s="74">
        <f t="shared" si="0"/>
        <v>0</v>
      </c>
      <c r="W8" s="74">
        <f t="shared" si="0"/>
        <v>0</v>
      </c>
      <c r="X8" s="74">
        <f t="shared" si="0"/>
        <v>9000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9000</v>
      </c>
      <c r="AC8" s="74">
        <f t="shared" si="0"/>
        <v>0</v>
      </c>
      <c r="AD8" s="74">
        <f t="shared" si="0"/>
        <v>107330.41</v>
      </c>
      <c r="AE8" s="74">
        <f t="shared" si="0"/>
        <v>6451.67</v>
      </c>
      <c r="AF8" s="74">
        <f t="shared" si="0"/>
        <v>4589.24</v>
      </c>
      <c r="AG8" s="74">
        <f t="shared" si="0"/>
        <v>1862.43</v>
      </c>
      <c r="AH8" s="74">
        <f t="shared" si="0"/>
        <v>40673.21</v>
      </c>
      <c r="AI8" s="105">
        <f t="shared" si="0"/>
        <v>0</v>
      </c>
      <c r="AJ8" s="74">
        <f t="shared" si="0"/>
        <v>40673.21</v>
      </c>
      <c r="AK8" s="74">
        <f t="shared" si="0"/>
        <v>0</v>
      </c>
      <c r="AL8" s="74">
        <f t="shared" si="0"/>
        <v>42535.64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40673.21</v>
      </c>
      <c r="C13" s="48">
        <f>AG8</f>
        <v>1862.43</v>
      </c>
      <c r="D13" s="48">
        <f>AK8</f>
        <v>0</v>
      </c>
      <c r="E13" s="48">
        <f>B13+C13+D13</f>
        <v>42535.64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9070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L4+IFERROR(VLOOKUP($E:$E,'（居民）工资表-9月'!$E:$S,15,0),0)</f>
        <v>87050</v>
      </c>
      <c r="T4" s="91">
        <f>5000+IFERROR(VLOOKUP($E:$E,'（居民）工资表-9月'!$E:$T,16,0),0)</f>
        <v>50000</v>
      </c>
      <c r="U4" s="91">
        <f>Q4+IFERROR(VLOOKUP($E:$E,'（居民）工资表-9月'!$E:$U,17,0),0)</f>
        <v>5199</v>
      </c>
      <c r="V4" s="70"/>
      <c r="W4" s="70"/>
      <c r="X4" s="70">
        <v>10000</v>
      </c>
      <c r="Y4" s="70"/>
      <c r="Z4" s="70"/>
      <c r="AA4" s="70"/>
      <c r="AB4" s="90">
        <f>ROUND(SUM(V4:AA4),2)</f>
        <v>10000</v>
      </c>
      <c r="AC4" s="90">
        <f>R4+IFERROR(VLOOKUP($E:$E,'（居民）工资表-9月'!$E:$AC,25,0),0)</f>
        <v>0</v>
      </c>
      <c r="AD4" s="93">
        <f>ROUND(S4-T4-U4-AB4-AC4,2)</f>
        <v>21851</v>
      </c>
      <c r="AE4" s="94">
        <f>ROUND(MAX((AD4)*{0.03;0.1;0.2;0.25;0.3;0.35;0.45}-{0;2520;16920;31920;52920;85920;181920},0),2)</f>
        <v>655.53</v>
      </c>
      <c r="AF4" s="95">
        <f>IFERROR(VLOOKUP(E:E,'（居民）工资表-9月'!E:AF,28,0)+VLOOKUP(E:E,'（居民）工资表-9月'!E:AG,29,0),0)</f>
        <v>579.03</v>
      </c>
      <c r="AG4" s="95">
        <f>IF((AE4-AF4)&lt;0,0,AE4-AF4)</f>
        <v>76.5</v>
      </c>
      <c r="AH4" s="102">
        <f>ROUND(IF((L4-Q4-AG4)&lt;0,0,(L4-Q4-AG4)),2)</f>
        <v>8473.6</v>
      </c>
      <c r="AI4" s="103"/>
      <c r="AJ4" s="102">
        <f>AH4+AI4</f>
        <v>8473.6</v>
      </c>
      <c r="AK4" s="104"/>
      <c r="AL4" s="102">
        <f>AJ4+AG4+AK4</f>
        <v>8550.1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158</v>
      </c>
      <c r="D5" s="37" t="s">
        <v>52</v>
      </c>
      <c r="E5" s="37" t="s">
        <v>159</v>
      </c>
      <c r="F5" s="38" t="s">
        <v>182</v>
      </c>
      <c r="G5" s="39">
        <v>13944441728</v>
      </c>
      <c r="H5" s="40"/>
      <c r="I5" s="40"/>
      <c r="J5" s="69"/>
      <c r="K5" s="40"/>
      <c r="L5" s="70">
        <v>6889.4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L5+IFERROR(VLOOKUP($E:$E,'（居民）工资表-9月'!$E:$S,15,0),0)</f>
        <v>48871.4</v>
      </c>
      <c r="T5" s="91">
        <f>5000+IFERROR(VLOOKUP($E:$E,'（居民）工资表-9月'!$E:$T,16,0),0)</f>
        <v>35000</v>
      </c>
      <c r="U5" s="91">
        <f>Q5+IFERROR(VLOOKUP($E:$E,'（居民）工资表-9月'!$E:$U,17,0),0)</f>
        <v>3147.68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R5+IFERROR(VLOOKUP($E:$E,'（居民）工资表-9月'!$E:$AC,25,0),0)</f>
        <v>0</v>
      </c>
      <c r="AD5" s="93">
        <f>ROUND(S5-T5-U5-AB5-AC5,2)</f>
        <v>10723.72</v>
      </c>
      <c r="AE5" s="94">
        <f>ROUND(MAX((AD5)*{0.03;0.1;0.2;0.25;0.3;0.35;0.45}-{0;2520;16920;31920;52920;85920;181920},0),2)</f>
        <v>321.71</v>
      </c>
      <c r="AF5" s="95">
        <f>IFERROR(VLOOKUP(E:E,'（居民）工资表-9月'!E:AF,28,0)+VLOOKUP(E:E,'（居民）工资表-9月'!E:AG,29,0),0)</f>
        <v>276.83</v>
      </c>
      <c r="AG5" s="95">
        <f>IF((AE5-AF5)&lt;0,0,AE5-AF5)</f>
        <v>44.88</v>
      </c>
      <c r="AH5" s="102">
        <f>ROUND(IF((L5-Q5-AG5)&lt;0,0,(L5-Q5-AG5)),2)</f>
        <v>6451.06</v>
      </c>
      <c r="AI5" s="103"/>
      <c r="AJ5" s="102">
        <f>AH5+AI5</f>
        <v>6451.06</v>
      </c>
      <c r="AK5" s="104"/>
      <c r="AL5" s="102">
        <f>AJ5+AG5+AK5</f>
        <v>6495.94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164</v>
      </c>
      <c r="D6" s="37" t="s">
        <v>52</v>
      </c>
      <c r="E6" s="368" t="s">
        <v>165</v>
      </c>
      <c r="F6" s="38" t="s">
        <v>182</v>
      </c>
      <c r="G6" s="39">
        <v>18607383005</v>
      </c>
      <c r="H6" s="40"/>
      <c r="I6" s="40"/>
      <c r="J6" s="69"/>
      <c r="K6" s="40"/>
      <c r="L6" s="70">
        <v>20720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L6+IFERROR(VLOOKUP($E:$E,'（居民）工资表-9月'!$E:$S,15,0),0)</f>
        <v>130024.76</v>
      </c>
      <c r="T6" s="91">
        <f>5000+IFERROR(VLOOKUP($E:$E,'（居民）工资表-9月'!$E:$T,16,0),0)</f>
        <v>30000</v>
      </c>
      <c r="U6" s="91">
        <f>Q6+IFERROR(VLOOKUP($E:$E,'（居民）工资表-9月'!$E:$U,17,0),0)</f>
        <v>3758.67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R6+IFERROR(VLOOKUP($E:$E,'（居民）工资表-9月'!$E:$AC,25,0),0)</f>
        <v>0</v>
      </c>
      <c r="AD6" s="93">
        <f>ROUND(S6-T6-U6-AB6-AC6,2)</f>
        <v>96266.09</v>
      </c>
      <c r="AE6" s="94">
        <f>ROUND(MAX((AD6)*{0.03;0.1;0.2;0.25;0.3;0.35;0.45}-{0;2520;16920;31920;52920;85920;181920},0),2)</f>
        <v>7106.61</v>
      </c>
      <c r="AF6" s="95">
        <f>IFERROR(VLOOKUP(E:E,'（居民）工资表-9月'!E:AF,28,0)+VLOOKUP(E:E,'（居民）工资表-9月'!E:AG,29,0),0)</f>
        <v>5595.81</v>
      </c>
      <c r="AG6" s="95">
        <f>IF((AE6-AF6)&lt;0,0,AE6-AF6)</f>
        <v>1510.8</v>
      </c>
      <c r="AH6" s="102">
        <f>ROUND(IF((L6-Q6-AG6)&lt;0,0,(L6-Q6-AG6)),2)</f>
        <v>18597.2</v>
      </c>
      <c r="AI6" s="103"/>
      <c r="AJ6" s="102">
        <f>AH6+AI6</f>
        <v>18597.2</v>
      </c>
      <c r="AK6" s="104"/>
      <c r="AL6" s="102">
        <f>AJ6+AG6+AK6</f>
        <v>20108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174</v>
      </c>
      <c r="D7" s="37" t="s">
        <v>52</v>
      </c>
      <c r="E7" s="368" t="s">
        <v>184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5700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L7+IFERROR(VLOOKUP($E:$E,'（居民）工资表-9月'!$E:$S,15,0),0)</f>
        <v>18343.6363636364</v>
      </c>
      <c r="T7" s="91">
        <f>5000+IFERROR(VLOOKUP($E:$E,'（居民）工资表-9月'!$E:$T,16,0),0)</f>
        <v>20000</v>
      </c>
      <c r="U7" s="91">
        <f>Q7+IFERROR(VLOOKUP($E:$E,'（居民）工资表-9月'!$E:$U,17,0),0)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R7+IFERROR(VLOOKUP($E:$E,'（居民）工资表-9月'!$E:$AC,25,0),0)</f>
        <v>0</v>
      </c>
      <c r="AD7" s="93">
        <f>ROUND(S7-T7-U7-AB7-AC7,2)</f>
        <v>-1656.36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>IF((AE7-AF7)&lt;0,0,AE7-AF7)</f>
        <v>0</v>
      </c>
      <c r="AH7" s="102">
        <f>ROUND(IF((L7-Q7-AG7)&lt;0,0,(L7-Q7-AG7)),2)</f>
        <v>5700</v>
      </c>
      <c r="AI7" s="103"/>
      <c r="AJ7" s="102">
        <f>AH7+AI7</f>
        <v>5700</v>
      </c>
      <c r="AK7" s="104"/>
      <c r="AL7" s="102">
        <f>AJ7+AG7+AK7</f>
        <v>5700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42379.4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284289.796363636</v>
      </c>
      <c r="T8" s="74">
        <f t="shared" si="0"/>
        <v>135000</v>
      </c>
      <c r="U8" s="74">
        <f t="shared" si="0"/>
        <v>12105.35</v>
      </c>
      <c r="V8" s="74">
        <f t="shared" si="0"/>
        <v>0</v>
      </c>
      <c r="W8" s="74">
        <f t="shared" si="0"/>
        <v>0</v>
      </c>
      <c r="X8" s="74">
        <f t="shared" si="0"/>
        <v>10000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10000</v>
      </c>
      <c r="AC8" s="74">
        <f t="shared" si="0"/>
        <v>0</v>
      </c>
      <c r="AD8" s="74">
        <f t="shared" si="0"/>
        <v>127184.45</v>
      </c>
      <c r="AE8" s="74">
        <f t="shared" si="0"/>
        <v>8083.85</v>
      </c>
      <c r="AF8" s="74">
        <f t="shared" si="0"/>
        <v>6451.67</v>
      </c>
      <c r="AG8" s="74">
        <f t="shared" si="0"/>
        <v>1632.18</v>
      </c>
      <c r="AH8" s="74">
        <f t="shared" si="0"/>
        <v>39221.86</v>
      </c>
      <c r="AI8" s="105">
        <f t="shared" si="0"/>
        <v>0</v>
      </c>
      <c r="AJ8" s="74">
        <f t="shared" si="0"/>
        <v>39221.86</v>
      </c>
      <c r="AK8" s="74">
        <f t="shared" si="0"/>
        <v>0</v>
      </c>
      <c r="AL8" s="74">
        <f t="shared" si="0"/>
        <v>40854.04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39221.86</v>
      </c>
      <c r="C13" s="48">
        <f>AG8</f>
        <v>1632.18</v>
      </c>
      <c r="D13" s="48">
        <f>AK8</f>
        <v>0</v>
      </c>
      <c r="E13" s="48">
        <f>B13+C13+D13</f>
        <v>40854.04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182</v>
      </c>
      <c r="G4" s="39">
        <v>18035163638</v>
      </c>
      <c r="H4" s="40"/>
      <c r="I4" s="40"/>
      <c r="J4" s="69"/>
      <c r="K4" s="40"/>
      <c r="L4" s="70">
        <v>10400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L4+IFERROR(VLOOKUP($E:$E,'（居民）工资表-10月'!$E:$S,15,0),0)</f>
        <v>97450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5718.9</v>
      </c>
      <c r="V4" s="70"/>
      <c r="W4" s="70"/>
      <c r="X4" s="70">
        <v>11000</v>
      </c>
      <c r="Y4" s="70"/>
      <c r="Z4" s="70"/>
      <c r="AA4" s="70"/>
      <c r="AB4" s="90">
        <f>ROUND(SUM(V4:AA4),2)</f>
        <v>11000</v>
      </c>
      <c r="AC4" s="90">
        <f>R4+IFERROR(VLOOKUP($E:$E,'（居民）工资表-10月'!$E:$AC,25,0),0)</f>
        <v>0</v>
      </c>
      <c r="AD4" s="93">
        <f>ROUND(S4-T4-U4-AB4-AC4,2)</f>
        <v>25731.1</v>
      </c>
      <c r="AE4" s="94">
        <f>ROUND(MAX((AD4)*{0.03;0.1;0.2;0.25;0.3;0.35;0.45}-{0;2520;16920;31920;52920;85920;181920},0),2)</f>
        <v>771.93</v>
      </c>
      <c r="AF4" s="95">
        <f>IFERROR(VLOOKUP(E:E,'（居民）工资表-10月'!E:AF,28,0)+VLOOKUP(E:E,'（居民）工资表-10月'!E:AG,29,0),0)</f>
        <v>655.53</v>
      </c>
      <c r="AG4" s="95">
        <f>IF((AE4-AF4)&lt;0,0,AE4-AF4)</f>
        <v>116.4</v>
      </c>
      <c r="AH4" s="102">
        <f>ROUND(IF((L4-Q4-AG4)&lt;0,0,(L4-Q4-AG4)),2)</f>
        <v>9763.7</v>
      </c>
      <c r="AI4" s="103"/>
      <c r="AJ4" s="102">
        <f>AH4+AI4</f>
        <v>9763.7</v>
      </c>
      <c r="AK4" s="104"/>
      <c r="AL4" s="102">
        <f>AJ4+AG4+AK4</f>
        <v>9880.1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158</v>
      </c>
      <c r="D5" s="37" t="s">
        <v>52</v>
      </c>
      <c r="E5" s="37" t="s">
        <v>159</v>
      </c>
      <c r="F5" s="38" t="s">
        <v>182</v>
      </c>
      <c r="G5" s="39">
        <v>13944441728</v>
      </c>
      <c r="H5" s="40"/>
      <c r="I5" s="40"/>
      <c r="J5" s="69"/>
      <c r="K5" s="40"/>
      <c r="L5" s="70">
        <v>7000</v>
      </c>
      <c r="M5" s="71">
        <f>268.81+24.57*4</f>
        <v>367.09</v>
      </c>
      <c r="N5" s="71">
        <v>61.06</v>
      </c>
      <c r="O5" s="71">
        <f>10.08+0.92*4</f>
        <v>13.76</v>
      </c>
      <c r="P5" s="71">
        <v>79</v>
      </c>
      <c r="Q5" s="89">
        <f>ROUND(SUM(M5:P5),2)</f>
        <v>520.91</v>
      </c>
      <c r="R5" s="70">
        <v>0</v>
      </c>
      <c r="S5" s="90">
        <f>L5+IFERROR(VLOOKUP($E:$E,'（居民）工资表-10月'!$E:$S,15,0),0)</f>
        <v>55871.4</v>
      </c>
      <c r="T5" s="91">
        <f>5000+IFERROR(VLOOKUP($E:$E,'（居民）工资表-10月'!$E:$T,16,0),0)</f>
        <v>40000</v>
      </c>
      <c r="U5" s="91">
        <f>Q5+IFERROR(VLOOKUP($E:$E,'（居民）工资表-10月'!$E:$U,17,0),0)</f>
        <v>3668.59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R5+IFERROR(VLOOKUP($E:$E,'（居民）工资表-10月'!$E:$AC,25,0),0)</f>
        <v>0</v>
      </c>
      <c r="AD5" s="93">
        <f>ROUND(S5-T5-U5-AB5-AC5,2)</f>
        <v>12202.81</v>
      </c>
      <c r="AE5" s="94">
        <f>ROUND(MAX((AD5)*{0.03;0.1;0.2;0.25;0.3;0.35;0.45}-{0;2520;16920;31920;52920;85920;181920},0),2)</f>
        <v>366.08</v>
      </c>
      <c r="AF5" s="95">
        <f>IFERROR(VLOOKUP(E:E,'（居民）工资表-10月'!E:AF,28,0)+VLOOKUP(E:E,'（居民）工资表-10月'!E:AG,29,0),0)</f>
        <v>321.71</v>
      </c>
      <c r="AG5" s="95">
        <f>IF((AE5-AF5)&lt;0,0,AE5-AF5)</f>
        <v>44.37</v>
      </c>
      <c r="AH5" s="102">
        <f>ROUND(IF((L5-Q5-AG5)&lt;0,0,(L5-Q5-AG5)),2)</f>
        <v>6434.72</v>
      </c>
      <c r="AI5" s="103"/>
      <c r="AJ5" s="102">
        <f>AH5+AI5</f>
        <v>6434.72</v>
      </c>
      <c r="AK5" s="104"/>
      <c r="AL5" s="102">
        <f>AJ5+AG5+AK5</f>
        <v>6479.09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174</v>
      </c>
      <c r="D6" s="37" t="s">
        <v>52</v>
      </c>
      <c r="E6" s="368" t="s">
        <v>184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L6+IFERROR(VLOOKUP($E:$E,'（居民）工资表-10月'!$E:$S,15,0),0)</f>
        <v>24043.6363636364</v>
      </c>
      <c r="T6" s="91">
        <f>5000+IFERROR(VLOOKUP($E:$E,'（居民）工资表-10月'!$E:$T,16,0),0)</f>
        <v>25000</v>
      </c>
      <c r="U6" s="91">
        <f>Q6+IFERROR(VLOOKUP($E:$E,'（居民）工资表-10月'!$E:$U,17,0),0)</f>
        <v>599.74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R6+IFERROR(VLOOKUP($E:$E,'（居民）工资表-10月'!$E:$AC,25,0),0)</f>
        <v>0</v>
      </c>
      <c r="AD6" s="93">
        <f>ROUND(S6-T6-U6-AB6-AC6,2)</f>
        <v>-1556.1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8" t="s">
        <v>165</v>
      </c>
      <c r="F7" s="38" t="s">
        <v>182</v>
      </c>
      <c r="G7" s="39">
        <v>18607383005</v>
      </c>
      <c r="H7" s="40"/>
      <c r="I7" s="40"/>
      <c r="J7" s="69"/>
      <c r="K7" s="40"/>
      <c r="L7" s="70">
        <v>25000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L7+IFERROR(VLOOKUP($E:$E,'（居民）工资表-10月'!$E:$S,15,0),0)</f>
        <v>155024.76</v>
      </c>
      <c r="T7" s="91">
        <f>5000+IFERROR(VLOOKUP($E:$E,'（居民）工资表-10月'!$E:$T,16,0),0)</f>
        <v>35000</v>
      </c>
      <c r="U7" s="91">
        <f>Q7+IFERROR(VLOOKUP($E:$E,'（居民）工资表-10月'!$E:$U,17,0),0)</f>
        <v>4370.67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R7+IFERROR(VLOOKUP($E:$E,'（居民）工资表-10月'!$E:$AC,25,0),0)</f>
        <v>0</v>
      </c>
      <c r="AD7" s="93">
        <f>ROUND(S7-T7-U7-AB7-AC7,2)</f>
        <v>115654.09</v>
      </c>
      <c r="AE7" s="94">
        <f>ROUND(MAX((AD7)*{0.03;0.1;0.2;0.25;0.3;0.35;0.45}-{0;2520;16920;31920;52920;85920;181920},0),2)</f>
        <v>9045.41</v>
      </c>
      <c r="AF7" s="95">
        <f>IFERROR(VLOOKUP(E:E,'（居民）工资表-10月'!E:AF,28,0)+VLOOKUP(E:E,'（居民）工资表-10月'!E:AG,29,0),0)</f>
        <v>7106.61</v>
      </c>
      <c r="AG7" s="95">
        <f>IF((AE7-AF7)&lt;0,0,AE7-AF7)</f>
        <v>1938.8</v>
      </c>
      <c r="AH7" s="102">
        <f>ROUND(IF((L7-Q7-AG7)&lt;0,0,(L7-Q7-AG7)),2)</f>
        <v>22449.2</v>
      </c>
      <c r="AI7" s="103"/>
      <c r="AJ7" s="102">
        <f>AH7+AI7</f>
        <v>22449.2</v>
      </c>
      <c r="AK7" s="104"/>
      <c r="AL7" s="102">
        <f>AJ7+AG7+AK7</f>
        <v>24388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IF(SUMPRODUCT(N(E$1:E$6=E7))&gt;1,"重复","不")</f>
        <v>不</v>
      </c>
      <c r="AT7" s="111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50</v>
      </c>
      <c r="C8" s="37" t="s">
        <v>232</v>
      </c>
      <c r="D8" s="37" t="s">
        <v>52</v>
      </c>
      <c r="E8" s="37" t="s">
        <v>233</v>
      </c>
      <c r="F8" s="38" t="s">
        <v>182</v>
      </c>
      <c r="G8" s="39">
        <v>13373825180</v>
      </c>
      <c r="H8" s="40"/>
      <c r="I8" s="40"/>
      <c r="J8" s="69"/>
      <c r="K8" s="40"/>
      <c r="L8" s="70">
        <v>25000</v>
      </c>
      <c r="M8" s="71">
        <f>261.04*2</f>
        <v>522.08</v>
      </c>
      <c r="N8" s="71">
        <f>57.18*2+32.5</f>
        <v>146.86</v>
      </c>
      <c r="O8" s="71">
        <f>9.1*2</f>
        <v>18.2</v>
      </c>
      <c r="P8" s="71">
        <f>85*2</f>
        <v>170</v>
      </c>
      <c r="Q8" s="89">
        <f>ROUND(SUM(M8:P8),2)</f>
        <v>857.14</v>
      </c>
      <c r="R8" s="70">
        <v>0</v>
      </c>
      <c r="S8" s="90">
        <f>L8+IFERROR(VLOOKUP($E:$E,'（居民）工资表-10月'!$E:$S,15,0),0)</f>
        <v>25000</v>
      </c>
      <c r="T8" s="91">
        <f>5000+IFERROR(VLOOKUP($E:$E,'（居民）工资表-10月'!$E:$T,16,0),0)</f>
        <v>5000</v>
      </c>
      <c r="U8" s="91">
        <f>Q8+IFERROR(VLOOKUP($E:$E,'（居民）工资表-10月'!$E:$U,17,0),0)</f>
        <v>857.14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R8+IFERROR(VLOOKUP($E:$E,'（居民）工资表-10月'!$E:$AC,25,0),0)</f>
        <v>0</v>
      </c>
      <c r="AD8" s="93">
        <f>ROUND(S8-T8-U8-AB8-AC8,2)</f>
        <v>19142.86</v>
      </c>
      <c r="AE8" s="94">
        <f>ROUND(MAX((AD8)*{0.03;0.1;0.2;0.25;0.3;0.35;0.45}-{0;2520;16920;31920;52920;85920;181920},0),2)</f>
        <v>574.29</v>
      </c>
      <c r="AF8" s="95">
        <f>IFERROR(VLOOKUP(E:E,'（居民）工资表-10月'!E:AF,28,0)+VLOOKUP(E:E,'（居民）工资表-10月'!E:AG,29,0),0)</f>
        <v>0</v>
      </c>
      <c r="AG8" s="95">
        <f>IF((AE8-AF8)&lt;0,0,AE8-AF8)</f>
        <v>574.29</v>
      </c>
      <c r="AH8" s="102">
        <f>ROUND(IF((L8-Q8-AG8)&lt;0,0,(L8-Q8-AG8)),2)</f>
        <v>23568.57</v>
      </c>
      <c r="AI8" s="103"/>
      <c r="AJ8" s="102">
        <f>AH8+AI8</f>
        <v>23568.57</v>
      </c>
      <c r="AK8" s="104"/>
      <c r="AL8" s="102">
        <f>AJ8+AG8+AK8</f>
        <v>24142.86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IF(SUMPRODUCT(N(E$1:E$6=E8))&gt;1,"重复","不")</f>
        <v>不</v>
      </c>
      <c r="AT8" s="111" t="str">
        <f>IF(SUMPRODUCT(N(AO$1:AO$6=AO8))&gt;1,"重复","不")</f>
        <v>重复</v>
      </c>
    </row>
    <row r="9" s="13" customFormat="1" ht="18" customHeight="1" spans="1:46">
      <c r="A9" s="41"/>
      <c r="B9" s="42" t="s">
        <v>59</v>
      </c>
      <c r="C9" s="42"/>
      <c r="D9" s="43"/>
      <c r="E9" s="44"/>
      <c r="F9" s="45"/>
      <c r="G9" s="46"/>
      <c r="H9" s="45"/>
      <c r="I9" s="72"/>
      <c r="J9" s="73"/>
      <c r="K9" s="72"/>
      <c r="L9" s="74">
        <f>SUM(L4:L8)</f>
        <v>73100</v>
      </c>
      <c r="M9" s="74">
        <f t="shared" ref="M9:AL9" si="0">SUM(M4:M8)</f>
        <v>1840.21</v>
      </c>
      <c r="N9" s="74">
        <f t="shared" si="0"/>
        <v>477.42</v>
      </c>
      <c r="O9" s="74">
        <f t="shared" si="0"/>
        <v>58.06</v>
      </c>
      <c r="P9" s="74">
        <f t="shared" si="0"/>
        <v>734</v>
      </c>
      <c r="Q9" s="74">
        <f t="shared" si="0"/>
        <v>3109.69</v>
      </c>
      <c r="R9" s="74">
        <f t="shared" si="0"/>
        <v>0</v>
      </c>
      <c r="S9" s="74">
        <f t="shared" si="0"/>
        <v>357389.796363636</v>
      </c>
      <c r="T9" s="74">
        <f t="shared" si="0"/>
        <v>160000</v>
      </c>
      <c r="U9" s="74">
        <f t="shared" si="0"/>
        <v>15215.04</v>
      </c>
      <c r="V9" s="74">
        <f t="shared" si="0"/>
        <v>0</v>
      </c>
      <c r="W9" s="74">
        <f t="shared" si="0"/>
        <v>0</v>
      </c>
      <c r="X9" s="74">
        <f t="shared" si="0"/>
        <v>11000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11000</v>
      </c>
      <c r="AC9" s="74">
        <f t="shared" si="0"/>
        <v>0</v>
      </c>
      <c r="AD9" s="74">
        <f t="shared" si="0"/>
        <v>171174.76</v>
      </c>
      <c r="AE9" s="74">
        <f t="shared" si="0"/>
        <v>10757.71</v>
      </c>
      <c r="AF9" s="74">
        <f t="shared" si="0"/>
        <v>8083.85</v>
      </c>
      <c r="AG9" s="74">
        <f t="shared" si="0"/>
        <v>2673.86</v>
      </c>
      <c r="AH9" s="74">
        <f t="shared" si="0"/>
        <v>67316.45</v>
      </c>
      <c r="AI9" s="74">
        <f t="shared" si="0"/>
        <v>0</v>
      </c>
      <c r="AJ9" s="74">
        <f t="shared" si="0"/>
        <v>67316.45</v>
      </c>
      <c r="AK9" s="74">
        <f t="shared" si="0"/>
        <v>0</v>
      </c>
      <c r="AL9" s="74">
        <f t="shared" si="0"/>
        <v>69990.31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29</v>
      </c>
      <c r="C13" s="47" t="s">
        <v>60</v>
      </c>
      <c r="D13" s="47" t="s">
        <v>30</v>
      </c>
      <c r="E13" s="47" t="s">
        <v>61</v>
      </c>
      <c r="AD13" s="10"/>
    </row>
    <row r="14" ht="18.75" customHeight="1" spans="2:5">
      <c r="B14" s="48">
        <f>AJ9</f>
        <v>67316.45</v>
      </c>
      <c r="C14" s="48">
        <f>AG9</f>
        <v>2673.86</v>
      </c>
      <c r="D14" s="48">
        <f>AK9</f>
        <v>0</v>
      </c>
      <c r="E14" s="48">
        <f>B14+C14+D14</f>
        <v>69990.31</v>
      </c>
    </row>
    <row r="15" spans="2:5">
      <c r="B15" s="49"/>
      <c r="C15" s="49"/>
      <c r="D15" s="49"/>
      <c r="E15" s="49"/>
    </row>
    <row r="16" s="14" customFormat="1" spans="1:35">
      <c r="A16" s="50" t="s">
        <v>62</v>
      </c>
      <c r="B16" s="51" t="s">
        <v>63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64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65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66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67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68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69</v>
      </c>
    </row>
    <row r="24" spans="2:2">
      <c r="B24" s="59" t="s">
        <v>70</v>
      </c>
    </row>
    <row r="25" spans="2:2">
      <c r="B25" s="59" t="s">
        <v>71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0" priority="2" stopIfTrue="1"/>
  </conditionalFormatting>
  <conditionalFormatting sqref="B16:B20">
    <cfRule type="duplicateValues" dxfId="0" priority="3" stopIfTrue="1"/>
  </conditionalFormatting>
  <conditionalFormatting sqref="B24:B25">
    <cfRule type="duplicateValues" dxfId="0" priority="1" stopIfTrue="1"/>
  </conditionalFormatting>
  <conditionalFormatting sqref="C13:C15">
    <cfRule type="duplicateValues" dxfId="0" priority="4" stopIfTrue="1"/>
    <cfRule type="expression" dxfId="1" priority="5" stopIfTrue="1">
      <formula>AND(COUNTIF($B$9:$B$65445,C13)+COUNTIF($B$1:$B$3,C13)&gt;1,NOT(ISBLANK(C13)))</formula>
    </cfRule>
    <cfRule type="expression" dxfId="1" priority="6" stopIfTrue="1">
      <formula>AND(COUNTIF($B$20:$B$65396,C13)+COUNTIF($B$1:$B$19,C13)&gt;1,NOT(ISBLANK(C13)))</formula>
    </cfRule>
    <cfRule type="expression" dxfId="1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234</v>
      </c>
      <c r="C4" s="37"/>
      <c r="D4" s="37" t="s">
        <v>52</v>
      </c>
      <c r="E4" s="37" t="s">
        <v>235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3000</v>
      </c>
      <c r="T4" s="91">
        <f>5000+IFERROR(VLOOKUP($E:$E,'（居民）工资表-11月'!$E:$T,16,0),0)</f>
        <v>5000</v>
      </c>
      <c r="U4" s="91">
        <f>Q4+IFERROR(VLOOKUP($E:$E,'（居民）工资表-11月'!$E:$U,17,0),0)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234</v>
      </c>
      <c r="C5" s="37"/>
      <c r="D5" s="37" t="s">
        <v>52</v>
      </c>
      <c r="E5" s="37" t="s">
        <v>236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4000</v>
      </c>
      <c r="T5" s="91">
        <f>5000+IFERROR(VLOOKUP($E:$E,'（居民）工资表-11月'!$E:$T,16,0),0)</f>
        <v>5000</v>
      </c>
      <c r="U5" s="91">
        <f>Q5+IFERROR(VLOOKUP($E:$E,'（居民）工资表-11月'!$E:$U,17,0),0)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234</v>
      </c>
      <c r="C6" s="37"/>
      <c r="D6" s="37" t="s">
        <v>52</v>
      </c>
      <c r="E6" s="37" t="s">
        <v>237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5000</v>
      </c>
      <c r="T6" s="91">
        <f>5000+IFERROR(VLOOKUP($E:$E,'（居民）工资表-11月'!$E:$T,16,0),0)</f>
        <v>5000</v>
      </c>
      <c r="U6" s="91">
        <f>Q6+IFERROR(VLOOKUP($E:$E,'（居民）工资表-11月'!$E:$U,17,0),0)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234</v>
      </c>
      <c r="C7" s="37"/>
      <c r="D7" s="37" t="s">
        <v>52</v>
      </c>
      <c r="E7" s="37" t="s">
        <v>238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6000</v>
      </c>
      <c r="T7" s="91">
        <f>5000+IFERROR(VLOOKUP($E:$E,'（居民）工资表-11月'!$E:$T,16,0),0)</f>
        <v>5000</v>
      </c>
      <c r="U7" s="91">
        <f>Q7+IFERROR(VLOOKUP($E:$E,'（居民）工资表-11月'!$E:$U,17,0),0)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234</v>
      </c>
      <c r="C8" s="37"/>
      <c r="D8" s="37" t="s">
        <v>52</v>
      </c>
      <c r="E8" s="37" t="s">
        <v>175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7000</v>
      </c>
      <c r="T8" s="91">
        <f>5000+IFERROR(VLOOKUP($E:$E,'（居民）工资表-11月'!$E:$T,16,0),0)</f>
        <v>5000</v>
      </c>
      <c r="U8" s="91">
        <f>Q8+IFERROR(VLOOKUP($E:$E,'（居民）工资表-11月'!$E:$U,17,0),0)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IFERROR(VLOOKUP(E:E,'（居民）工资表-11月'!E:AF,28,0)+VLOOKUP(E:E,'（居民）工资表-11月'!E:AG,29,0),0)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234</v>
      </c>
      <c r="C9" s="37"/>
      <c r="D9" s="37" t="s">
        <v>52</v>
      </c>
      <c r="E9" s="37" t="s">
        <v>239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8000</v>
      </c>
      <c r="T9" s="91">
        <f>5000+IFERROR(VLOOKUP($E:$E,'（居民）工资表-11月'!$E:$T,16,0),0)</f>
        <v>5000</v>
      </c>
      <c r="U9" s="91">
        <f>Q9+IFERROR(VLOOKUP($E:$E,'（居民）工资表-11月'!$E:$U,17,0),0)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IFERROR(VLOOKUP(E:E,'（居民）工资表-11月'!E:AF,28,0)+VLOOKUP(E:E,'（居民）工资表-11月'!E:AG,29,0),0)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234</v>
      </c>
      <c r="C10" s="37"/>
      <c r="D10" s="37" t="s">
        <v>52</v>
      </c>
      <c r="E10" s="37" t="s">
        <v>240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9000</v>
      </c>
      <c r="T10" s="91">
        <f>5000+IFERROR(VLOOKUP($E:$E,'（居民）工资表-11月'!$E:$T,16,0),0)</f>
        <v>5000</v>
      </c>
      <c r="U10" s="91">
        <f>Q10+IFERROR(VLOOKUP($E:$E,'（居民）工资表-11月'!$E:$U,17,0),0)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IFERROR(VLOOKUP(E:E,'（居民）工资表-11月'!E:AF,28,0)+VLOOKUP(E:E,'（居民）工资表-11月'!E:AG,29,0),0)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234</v>
      </c>
      <c r="C11" s="37"/>
      <c r="D11" s="37" t="s">
        <v>52</v>
      </c>
      <c r="E11" s="37" t="s">
        <v>241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10000</v>
      </c>
      <c r="T11" s="91">
        <f>5000+IFERROR(VLOOKUP($E:$E,'（居民）工资表-11月'!$E:$T,16,0),0)</f>
        <v>5000</v>
      </c>
      <c r="U11" s="91">
        <f>Q11+IFERROR(VLOOKUP($E:$E,'（居民）工资表-11月'!$E:$U,17,0),0)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IFERROR(VLOOKUP(E:E,'（居民）工资表-11月'!E:AF,28,0)+VLOOKUP(E:E,'（居民）工资表-11月'!E:AG,29,0),0)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234</v>
      </c>
      <c r="C12" s="37"/>
      <c r="D12" s="37" t="s">
        <v>52</v>
      </c>
      <c r="E12" s="37" t="s">
        <v>242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11000</v>
      </c>
      <c r="T12" s="91">
        <f>5000+IFERROR(VLOOKUP($E:$E,'（居民）工资表-11月'!$E:$T,16,0),0)</f>
        <v>5000</v>
      </c>
      <c r="U12" s="91">
        <f>Q12+IFERROR(VLOOKUP($E:$E,'（居民）工资表-11月'!$E:$U,17,0),0)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IFERROR(VLOOKUP(E:E,'（居民）工资表-11月'!E:AF,28,0)+VLOOKUP(E:E,'（居民）工资表-11月'!E:AG,29,0),0)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234</v>
      </c>
      <c r="C13" s="37"/>
      <c r="D13" s="37" t="s">
        <v>52</v>
      </c>
      <c r="E13" s="37" t="s">
        <v>243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12000</v>
      </c>
      <c r="T13" s="91">
        <f>5000+IFERROR(VLOOKUP($E:$E,'（居民）工资表-11月'!$E:$T,16,0),0)</f>
        <v>5000</v>
      </c>
      <c r="U13" s="91">
        <f>Q13+IFERROR(VLOOKUP($E:$E,'（居民）工资表-11月'!$E:$U,17,0),0)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IFERROR(VLOOKUP(E:E,'（居民）工资表-11月'!E:AF,28,0)+VLOOKUP(E:E,'（居民）工资表-11月'!E:AG,29,0),0)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234</v>
      </c>
      <c r="C14" s="37"/>
      <c r="D14" s="37" t="s">
        <v>52</v>
      </c>
      <c r="E14" s="37" t="s">
        <v>244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13000</v>
      </c>
      <c r="T14" s="91">
        <f>5000+IFERROR(VLOOKUP($E:$E,'（居民）工资表-11月'!$E:$T,16,0),0)</f>
        <v>5000</v>
      </c>
      <c r="U14" s="91">
        <f>Q14+IFERROR(VLOOKUP($E:$E,'（居民）工资表-11月'!$E:$U,17,0),0)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IFERROR(VLOOKUP(E:E,'（居民）工资表-11月'!E:AF,28,0)+VLOOKUP(E:E,'（居民）工资表-11月'!E:AG,29,0),0)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234</v>
      </c>
      <c r="C15" s="37"/>
      <c r="D15" s="37" t="s">
        <v>52</v>
      </c>
      <c r="E15" s="37" t="s">
        <v>245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14000</v>
      </c>
      <c r="T15" s="91">
        <f>5000+IFERROR(VLOOKUP($E:$E,'（居民）工资表-11月'!$E:$T,16,0),0)</f>
        <v>5000</v>
      </c>
      <c r="U15" s="91">
        <f>Q15+IFERROR(VLOOKUP($E:$E,'（居民）工资表-11月'!$E:$U,17,0),0)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IFERROR(VLOOKUP(E:E,'（居民）工资表-11月'!E:AF,28,0)+VLOOKUP(E:E,'（居民）工资表-11月'!E:AG,29,0),0)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234</v>
      </c>
      <c r="C16" s="37"/>
      <c r="D16" s="37" t="s">
        <v>52</v>
      </c>
      <c r="E16" s="37" t="s">
        <v>246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15000</v>
      </c>
      <c r="T16" s="91">
        <f>5000+IFERROR(VLOOKUP($E:$E,'（居民）工资表-11月'!$E:$T,16,0),0)</f>
        <v>5000</v>
      </c>
      <c r="U16" s="91">
        <f>Q16+IFERROR(VLOOKUP($E:$E,'（居民）工资表-11月'!$E:$U,17,0),0)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IFERROR(VLOOKUP(E:E,'（居民）工资表-11月'!E:AF,28,0)+VLOOKUP(E:E,'（居民）工资表-11月'!E:AG,29,0),0)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234</v>
      </c>
      <c r="C17" s="37"/>
      <c r="D17" s="37" t="s">
        <v>52</v>
      </c>
      <c r="E17" s="37" t="s">
        <v>247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16000</v>
      </c>
      <c r="T17" s="91">
        <f>5000+IFERROR(VLOOKUP($E:$E,'（居民）工资表-11月'!$E:$T,16,0),0)</f>
        <v>5000</v>
      </c>
      <c r="U17" s="91">
        <f>Q17+IFERROR(VLOOKUP($E:$E,'（居民）工资表-11月'!$E:$U,17,0),0)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IFERROR(VLOOKUP(E:E,'（居民）工资表-11月'!E:AF,28,0)+VLOOKUP(E:E,'（居民）工资表-11月'!E:AG,29,0),0)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234</v>
      </c>
      <c r="C18" s="37"/>
      <c r="D18" s="37" t="s">
        <v>52</v>
      </c>
      <c r="E18" s="37" t="s">
        <v>248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17000</v>
      </c>
      <c r="T18" s="91">
        <f>5000+IFERROR(VLOOKUP($E:$E,'（居民）工资表-11月'!$E:$T,16,0),0)</f>
        <v>5000</v>
      </c>
      <c r="U18" s="91">
        <f>Q18+IFERROR(VLOOKUP($E:$E,'（居民）工资表-11月'!$E:$U,17,0),0)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IFERROR(VLOOKUP(E:E,'（居民）工资表-11月'!E:AF,28,0)+VLOOKUP(E:E,'（居民）工资表-11月'!E:AG,29,0),0)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234</v>
      </c>
      <c r="C19" s="37"/>
      <c r="D19" s="37" t="s">
        <v>52</v>
      </c>
      <c r="E19" s="37" t="s">
        <v>249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18000</v>
      </c>
      <c r="T19" s="91">
        <f>5000+IFERROR(VLOOKUP($E:$E,'（居民）工资表-11月'!$E:$T,16,0),0)</f>
        <v>5000</v>
      </c>
      <c r="U19" s="91">
        <f>Q19+IFERROR(VLOOKUP($E:$E,'（居民）工资表-11月'!$E:$U,17,0),0)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IFERROR(VLOOKUP(E:E,'（居民）工资表-11月'!E:AF,28,0)+VLOOKUP(E:E,'（居民）工资表-11月'!E:AG,29,0),0)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234</v>
      </c>
      <c r="C20" s="37"/>
      <c r="D20" s="37" t="s">
        <v>52</v>
      </c>
      <c r="E20" s="37" t="s">
        <v>250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19000</v>
      </c>
      <c r="T20" s="91">
        <f>5000+IFERROR(VLOOKUP($E:$E,'（居民）工资表-11月'!$E:$T,16,0),0)</f>
        <v>5000</v>
      </c>
      <c r="U20" s="91">
        <f>Q20+IFERROR(VLOOKUP($E:$E,'（居民）工资表-11月'!$E:$U,17,0),0)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IFERROR(VLOOKUP(E:E,'（居民）工资表-11月'!E:AF,28,0)+VLOOKUP(E:E,'（居民）工资表-11月'!E:AG,29,0),0)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234</v>
      </c>
      <c r="C21" s="37"/>
      <c r="D21" s="37" t="s">
        <v>52</v>
      </c>
      <c r="E21" s="37" t="s">
        <v>251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20000</v>
      </c>
      <c r="T21" s="91">
        <f>5000+IFERROR(VLOOKUP($E:$E,'（居民）工资表-11月'!$E:$T,16,0),0)</f>
        <v>5000</v>
      </c>
      <c r="U21" s="91">
        <f>Q21+IFERROR(VLOOKUP($E:$E,'（居民）工资表-11月'!$E:$U,17,0),0)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IFERROR(VLOOKUP(E:E,'（居民）工资表-11月'!E:AF,28,0)+VLOOKUP(E:E,'（居民）工资表-11月'!E:AG,29,0),0)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234</v>
      </c>
      <c r="C22" s="37"/>
      <c r="D22" s="37" t="s">
        <v>52</v>
      </c>
      <c r="E22" s="37" t="s">
        <v>252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21000</v>
      </c>
      <c r="T22" s="91">
        <f>5000+IFERROR(VLOOKUP($E:$E,'（居民）工资表-11月'!$E:$T,16,0),0)</f>
        <v>5000</v>
      </c>
      <c r="U22" s="91">
        <f>Q22+IFERROR(VLOOKUP($E:$E,'（居民）工资表-11月'!$E:$U,17,0),0)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IFERROR(VLOOKUP(E:E,'（居民）工资表-11月'!E:AF,28,0)+VLOOKUP(E:E,'（居民）工资表-11月'!E:AG,29,0),0)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234</v>
      </c>
      <c r="C23" s="37"/>
      <c r="D23" s="37" t="s">
        <v>52</v>
      </c>
      <c r="E23" s="37" t="s">
        <v>253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22000</v>
      </c>
      <c r="T23" s="91">
        <f>5000+IFERROR(VLOOKUP($E:$E,'（居民）工资表-11月'!$E:$T,16,0),0)</f>
        <v>5000</v>
      </c>
      <c r="U23" s="91">
        <f>Q23+IFERROR(VLOOKUP($E:$E,'（居民）工资表-11月'!$E:$U,17,0),0)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IFERROR(VLOOKUP(E:E,'（居民）工资表-11月'!E:AF,28,0)+VLOOKUP(E:E,'（居民）工资表-11月'!E:AG,29,0),0)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254</v>
      </c>
      <c r="C1" s="1"/>
      <c r="D1" s="1"/>
      <c r="E1" s="1"/>
    </row>
    <row r="2" ht="21" spans="2:2">
      <c r="B2" s="2"/>
    </row>
    <row r="3" ht="27.75" customHeight="1" spans="2:5">
      <c r="B3" s="3" t="s">
        <v>255</v>
      </c>
      <c r="C3" s="4" t="s">
        <v>256</v>
      </c>
      <c r="D3" s="4" t="s">
        <v>257</v>
      </c>
      <c r="E3" s="4" t="s">
        <v>258</v>
      </c>
    </row>
    <row r="4" ht="29.25" customHeight="1" spans="2:5">
      <c r="B4" s="5">
        <v>1</v>
      </c>
      <c r="C4" s="6" t="s">
        <v>259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260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261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262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263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264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265</v>
      </c>
      <c r="D10" s="7">
        <v>0.45</v>
      </c>
      <c r="E10" s="8">
        <v>181920</v>
      </c>
    </row>
    <row r="13" ht="57" customHeight="1" spans="2:5">
      <c r="B13" s="1" t="s">
        <v>266</v>
      </c>
      <c r="C13" s="1"/>
      <c r="D13" s="1"/>
      <c r="E13" s="1"/>
    </row>
    <row r="14" ht="21" spans="2:2">
      <c r="B14" s="2"/>
    </row>
    <row r="15" ht="27.75" customHeight="1" spans="2:5">
      <c r="B15" s="3" t="s">
        <v>255</v>
      </c>
      <c r="C15" s="4" t="s">
        <v>267</v>
      </c>
      <c r="D15" s="4" t="s">
        <v>257</v>
      </c>
      <c r="E15" s="4" t="s">
        <v>258</v>
      </c>
    </row>
    <row r="16" ht="29.25" customHeight="1" spans="2:5">
      <c r="B16" s="5">
        <v>1</v>
      </c>
      <c r="C16" s="6" t="s">
        <v>268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269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270</v>
      </c>
      <c r="D18" s="7">
        <v>0.4</v>
      </c>
      <c r="E18" s="8">
        <v>7000</v>
      </c>
    </row>
    <row r="21" ht="47.25" customHeight="1" spans="2:5">
      <c r="B21" s="1" t="s">
        <v>271</v>
      </c>
      <c r="C21" s="1"/>
      <c r="D21" s="1"/>
      <c r="E21" s="1"/>
    </row>
    <row r="22" ht="21" spans="2:2">
      <c r="B22" s="2"/>
    </row>
    <row r="23" ht="27.75" customHeight="1" spans="2:5">
      <c r="B23" s="3" t="s">
        <v>255</v>
      </c>
      <c r="C23" s="4" t="s">
        <v>272</v>
      </c>
      <c r="D23" s="4" t="s">
        <v>257</v>
      </c>
      <c r="E23" s="4" t="s">
        <v>258</v>
      </c>
    </row>
    <row r="24" ht="29.25" customHeight="1" spans="2:5">
      <c r="B24" s="5">
        <v>1</v>
      </c>
      <c r="C24" s="6" t="s">
        <v>273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274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275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276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277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278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279</v>
      </c>
      <c r="D30" s="7">
        <v>0.45</v>
      </c>
      <c r="E30" s="8">
        <v>15160</v>
      </c>
    </row>
    <row r="35" ht="57" customHeight="1" spans="2:5">
      <c r="B35" s="9" t="s">
        <v>280</v>
      </c>
      <c r="C35" s="9"/>
      <c r="D35" s="9"/>
      <c r="E35" s="9"/>
    </row>
    <row r="36" ht="14.25"/>
    <row r="37" ht="21.75" customHeight="1" spans="2:5">
      <c r="B37" s="3" t="s">
        <v>255</v>
      </c>
      <c r="C37" s="4" t="s">
        <v>281</v>
      </c>
      <c r="D37" s="4" t="s">
        <v>282</v>
      </c>
      <c r="E37" s="4" t="s">
        <v>258</v>
      </c>
    </row>
    <row r="38" ht="21.75" customHeight="1" spans="2:5">
      <c r="B38" s="5">
        <v>1</v>
      </c>
      <c r="C38" s="6" t="s">
        <v>273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274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275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276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277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278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279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（居民）工资表-1月</vt:lpstr>
      <vt:lpstr>付款通知</vt:lpstr>
      <vt:lpstr>（居民）工资表-2月</vt:lpstr>
      <vt:lpstr>（居民）工资表-3月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睁只眼闭只眼</cp:lastModifiedBy>
  <dcterms:created xsi:type="dcterms:W3CDTF">2018-08-01T08:19:00Z</dcterms:created>
  <cp:lastPrinted>2019-02-02T09:30:00Z</cp:lastPrinted>
  <dcterms:modified xsi:type="dcterms:W3CDTF">2021-11-09T04:00:46Z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2052-11.1.0.11045</vt:lpwstr>
  </property>
  <property fmtid="{D5CDD505-2E9C-101B-9397-08002B2CF9AE}" pid="4" name="ICV">
    <vt:lpwstr>9D6404703D8443F2A7F6BF5E140DEDE7</vt:lpwstr>
  </property>
  <property fmtid="{D5CDD505-2E9C-101B-9397-08002B2CF9AE}" pid="5" name="KSOReadingLayout">
    <vt:bool>true</vt:bool>
  </property>
</Properties>
</file>