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10" windowHeight="11220" tabRatio="330"/>
  </bookViews>
  <sheets>
    <sheet name="付款通知" sheetId="2" r:id="rId1"/>
    <sheet name="客户账单" sheetId="4" r:id="rId2"/>
    <sheet name="工资" sheetId="5" r:id="rId3"/>
  </sheets>
  <externalReferences>
    <externalReference r:id="rId4"/>
  </externalReferences>
  <definedNames>
    <definedName name="_xlnm._FilterDatabase" localSheetId="1" hidden="1">客户账单!$A$5:$BH$14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2.xml><?xml version="1.0" encoding="utf-8"?>
<comments xmlns="http://schemas.openxmlformats.org/spreadsheetml/2006/main">
  <authors>
    <author>kk</author>
    <author>qiqi</author>
    <author/>
    <author>Administrator</author>
  </authors>
  <commentList>
    <comment ref="B4" authorId="0">
      <text>
        <r>
          <rPr>
            <sz val="9"/>
            <rFont val="宋体"/>
            <charset val="134"/>
          </rPr>
          <t>kk:
请填写客户全称</t>
        </r>
      </text>
    </comment>
    <comment ref="D4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4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4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Q4" authorId="1">
      <text>
        <r>
          <rPr>
            <sz val="9"/>
            <rFont val="宋体"/>
            <charset val="134"/>
          </rPr>
          <t>qiqi:
残障金等</t>
        </r>
      </text>
    </comment>
    <comment ref="AS5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5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5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  <comment ref="AQ6" authorId="2">
      <text>
        <r>
          <rPr>
            <sz val="9"/>
            <rFont val="宋体"/>
            <charset val="134"/>
          </rPr>
          <t>大病+残障金</t>
        </r>
      </text>
    </comment>
    <comment ref="BD6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山西鼎诺</t>
        </r>
      </text>
    </comment>
    <comment ref="AQ7" authorId="2">
      <text>
        <r>
          <rPr>
            <sz val="9"/>
            <rFont val="宋体"/>
            <charset val="134"/>
          </rPr>
          <t>大病+残障金</t>
        </r>
      </text>
    </comment>
    <comment ref="AQ8" authorId="2">
      <text>
        <r>
          <rPr>
            <sz val="9"/>
            <rFont val="宋体"/>
            <charset val="134"/>
          </rPr>
          <t>大病+残障金</t>
        </r>
      </text>
    </comment>
    <comment ref="AQ9" authorId="2">
      <text>
        <r>
          <rPr>
            <sz val="9"/>
            <rFont val="宋体"/>
            <charset val="134"/>
          </rPr>
          <t>残障金</t>
        </r>
      </text>
    </comment>
    <comment ref="AQ10" authorId="2">
      <text>
        <r>
          <rPr>
            <sz val="9"/>
            <rFont val="宋体"/>
            <charset val="134"/>
          </rPr>
          <t>残障金</t>
        </r>
      </text>
    </comment>
    <comment ref="AQ11" authorId="2">
      <text>
        <r>
          <rPr>
            <sz val="9"/>
            <rFont val="宋体"/>
            <charset val="134"/>
          </rPr>
          <t>残障金</t>
        </r>
      </text>
    </comment>
    <comment ref="BD15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山西鼎诺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1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1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1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1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1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1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1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1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1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1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1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1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2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2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2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2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2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2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<sst xmlns="http://schemas.openxmlformats.org/spreadsheetml/2006/main" count="311" uniqueCount="163">
  <si>
    <t>付款通知书</t>
  </si>
  <si>
    <t>尊敬的客户：北京创联致信科技有限公司</t>
  </si>
  <si>
    <r>
      <rPr>
        <b/>
        <sz val="11"/>
        <rFont val="宋体"/>
        <charset val="134"/>
      </rPr>
      <t>根据贵公司与我公司所签订的服务协议，请贵公司在</t>
    </r>
    <r>
      <rPr>
        <b/>
        <sz val="11"/>
        <color rgb="FFFF0000"/>
        <rFont val="宋体"/>
        <charset val="134"/>
      </rPr>
      <t>2020年6月10日</t>
    </r>
    <r>
      <rPr>
        <b/>
        <sz val="11"/>
        <rFont val="宋体"/>
        <charset val="134"/>
      </rPr>
      <t>之前按照下列表格内容支付相关款项.</t>
    </r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</si>
  <si>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</si>
  <si>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</si>
  <si>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</si>
  <si>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</si>
  <si>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</si>
  <si>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开户银行：中国工商银行股份有限公司北京商务中心区支行</t>
  </si>
  <si>
    <t>本期款项合计：</t>
  </si>
  <si>
    <t>尾数调整：</t>
  </si>
  <si>
    <t>银行账号：0200080609200135470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</si>
  <si>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</si>
  <si>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</si>
  <si>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</si>
  <si>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</si>
  <si>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</si>
  <si>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</si>
  <si>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</si>
  <si>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</si>
  <si>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</si>
  <si>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</si>
  <si>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</si>
  <si>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</si>
  <si>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</si>
  <si>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</si>
  <si>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</si>
  <si>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-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</si>
  <si>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</si>
  <si>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</si>
  <si>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</si>
  <si>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</si>
  <si>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</si>
  <si>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</si>
  <si>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合计:</t>
  </si>
  <si>
    <t>开票金额:</t>
  </si>
  <si>
    <t xml:space="preserve"> 北京创联致信科技有限公司2020年6月 实收 账单</t>
  </si>
  <si>
    <t>尊敬的客户，按双方合同约定，请您于2020年6月10日之前，向我司支付4-6月款项共计：292539.96元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</si>
  <si>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</si>
  <si>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</si>
  <si>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</si>
  <si>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</si>
  <si>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</si>
  <si>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</si>
  <si>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</si>
  <si>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</si>
  <si>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</si>
  <si>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</si>
  <si>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</si>
  <si>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</si>
  <si>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</si>
  <si>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</si>
  <si>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</si>
  <si>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</si>
  <si>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</si>
  <si>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其他</t>
  </si>
  <si>
    <t>缴纳小计</t>
  </si>
  <si>
    <t>汇缴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</si>
  <si>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</si>
  <si>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</si>
  <si>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</si>
  <si>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</si>
  <si>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</si>
  <si>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</si>
  <si>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</si>
  <si>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</si>
  <si>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</si>
  <si>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</si>
  <si>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</si>
  <si>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</si>
  <si>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</si>
  <si>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</si>
  <si>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</si>
  <si>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</si>
  <si>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社保总计</t>
  </si>
  <si>
    <t>BPO北京创联致信科技有限公司</t>
  </si>
  <si>
    <t>太原</t>
  </si>
  <si>
    <t>代理</t>
  </si>
  <si>
    <t>sxdn</t>
  </si>
  <si>
    <t>赵强</t>
  </si>
  <si>
    <t>142732199004126819</t>
  </si>
  <si>
    <t>201704</t>
  </si>
  <si>
    <t>202004</t>
  </si>
  <si>
    <t>山西医疗减免比例0.035（2-4月），供应商三险减免正在确认</t>
  </si>
  <si>
    <t>202005</t>
  </si>
  <si>
    <t>202006</t>
  </si>
  <si>
    <t xml:space="preserve">广州 </t>
  </si>
  <si>
    <t>gdny</t>
  </si>
  <si>
    <t>冯月燕</t>
  </si>
  <si>
    <t>440602197506030928</t>
  </si>
  <si>
    <t>太原三险企业部分减免，医疗企业部分减半</t>
  </si>
  <si>
    <t xml:space="preserve"> </t>
  </si>
  <si>
    <t>乌鲁木齐</t>
  </si>
  <si>
    <t>xjhh</t>
  </si>
  <si>
    <t>官涛</t>
  </si>
  <si>
    <t>650104198205245019</t>
  </si>
  <si>
    <t>201808</t>
  </si>
  <si>
    <t>3019</t>
  </si>
  <si>
    <t>呼和浩特三险企业减免，医疗生育企业部分减半</t>
  </si>
  <si>
    <t>减免</t>
  </si>
  <si>
    <t>202002-03</t>
  </si>
  <si>
    <t>-3019</t>
  </si>
  <si>
    <t>乌鲁木齐三险企业减免，医疗生育企业部分减半</t>
  </si>
  <si>
    <t>分项合计</t>
  </si>
  <si>
    <t>填表说明：</t>
  </si>
  <si>
    <t>1、为了提高账单清晰度，对于补缴退费等还请分行按月列明。诸如2014年5月补缴费用一行，6月补缴一行，分别列明</t>
  </si>
  <si>
    <t>2、残障金、大病等其他费用请填写在其他项，其他费用注释可在最后备注列说明</t>
  </si>
  <si>
    <t>3、对员工补收、补退费用，请在备注中写清</t>
  </si>
  <si>
    <t>4、费用表的所有金额均保留2位小数点（加入ROUND公式)。如与当地政策不同，请以当地政策为准，修改公式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</si>
  <si>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</si>
  <si>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</si>
  <si>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</si>
  <si>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</si>
  <si>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</si>
  <si>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</si>
  <si>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</si>
  <si>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</si>
  <si>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</si>
  <si>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</si>
  <si>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</si>
  <si>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</si>
  <si>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</si>
  <si>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</si>
  <si>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</si>
  <si>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</si>
  <si>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</si>
  <si>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</si>
  <si>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</si>
  <si>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</si>
  <si>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</si>
  <si>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</si>
  <si>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</si>
  <si>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</si>
  <si>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</si>
  <si>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</si>
  <si>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</si>
  <si>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</si>
  <si>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</si>
  <si>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</si>
  <si>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</si>
  <si>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</si>
  <si>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</si>
  <si>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</si>
  <si>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</si>
  <si>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</si>
  <si>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</si>
  <si>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</si>
  <si>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</si>
  <si>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</si>
  <si>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</si>
  <si>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</si>
  <si>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</si>
  <si>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</si>
  <si>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</si>
  <si>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创联致信202006</t>
  </si>
  <si>
    <t>身份证</t>
  </si>
  <si>
    <t>男</t>
  </si>
  <si>
    <t>18035163638</t>
  </si>
  <si>
    <t>女</t>
  </si>
  <si>
    <t>13926009696</t>
  </si>
  <si>
    <t>18999937344</t>
  </si>
  <si>
    <t>合计</t>
  </si>
  <si>
    <t>个税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</si>
</sst>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&quot;\&quot;#,##0;[Red]&quot;\&quot;\-#,##0"/>
    <numFmt numFmtId="177" formatCode="0.00_ "/>
    <numFmt numFmtId="178" formatCode="#,##0_);[Red]\(#,##0\)"/>
    <numFmt numFmtId="179" formatCode="&quot;$&quot;0_ "/>
    <numFmt numFmtId="180" formatCode="0.00_);[Red]\(0.00\)"/>
    <numFmt numFmtId="181" formatCode="#,##0.00_);[Red]\(#,##0.00\)"/>
    <numFmt numFmtId="182" formatCode="[DBNum2][$-804]General"/>
    <numFmt numFmtId="183" formatCode="&quot;$&quot;#,##0_ ;[Red]\-&quot;$&quot;#,##0_ "/>
    <numFmt numFmtId="184" formatCode="General\ &quot;年&quot;"/>
    <numFmt numFmtId="185" formatCode="0_);[Red]\(0\)"/>
    <numFmt numFmtId="186" formatCode="0.00_);\(0.00\)"/>
  </numFmts>
  <fonts count="102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0"/>
      <color rgb="FFFF000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6"/>
      <color theme="1"/>
      <name val="Arial"/>
      <charset val="134"/>
    </font>
    <font>
      <sz val="6"/>
      <color indexed="8"/>
      <name val="Arial"/>
      <charset val="134"/>
    </font>
    <font>
      <sz val="6"/>
      <color theme="4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b/>
      <sz val="14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indexed="10"/>
      <name val="宋体"/>
      <charset val="134"/>
    </font>
    <font>
      <sz val="9"/>
      <color indexed="10"/>
      <name val="宋体"/>
      <charset val="134"/>
    </font>
    <font>
      <sz val="10"/>
      <color theme="1"/>
      <name val="SimSun"/>
      <charset val="134"/>
    </font>
    <font>
      <sz val="10"/>
      <color indexed="8"/>
      <name val="SimSun"/>
      <charset val="134"/>
    </font>
    <font>
      <sz val="10.5"/>
      <color theme="1"/>
      <name val="Segoe UI"/>
      <charset val="134"/>
    </font>
    <font>
      <sz val="9"/>
      <color theme="1"/>
      <name val="Segoe UI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color theme="4"/>
      <name val="SimSun"/>
      <charset val="134"/>
    </font>
    <font>
      <sz val="10.5"/>
      <color theme="4"/>
      <name val="Segoe UI"/>
      <charset val="134"/>
    </font>
    <font>
      <sz val="9"/>
      <color theme="4"/>
      <name val="Segoe UI"/>
      <charset val="134"/>
    </font>
    <font>
      <sz val="10"/>
      <color theme="4"/>
      <name val="宋体"/>
      <charset val="134"/>
    </font>
    <font>
      <b/>
      <sz val="9"/>
      <name val="宋体"/>
      <charset val="134"/>
    </font>
    <font>
      <sz val="10"/>
      <color indexed="8"/>
      <name val="微软雅黑"/>
      <charset val="134"/>
    </font>
    <font>
      <b/>
      <sz val="9"/>
      <color indexed="8"/>
      <name val="微软雅黑"/>
      <charset val="134"/>
    </font>
    <font>
      <sz val="9"/>
      <color theme="1"/>
      <name val="宋体"/>
      <charset val="134"/>
    </font>
    <font>
      <sz val="10"/>
      <color theme="4"/>
      <name val="微软雅黑"/>
      <charset val="134"/>
    </font>
    <font>
      <sz val="6"/>
      <color indexed="8"/>
      <name val="微软雅黑"/>
      <charset val="134"/>
    </font>
    <font>
      <sz val="8"/>
      <color theme="1"/>
      <name val="微软雅黑"/>
      <charset val="134"/>
    </font>
    <font>
      <sz val="6"/>
      <color indexed="10"/>
      <name val="微软雅黑"/>
      <charset val="134"/>
    </font>
    <font>
      <sz val="9"/>
      <color theme="4"/>
      <name val="宋体"/>
      <charset val="134"/>
    </font>
    <font>
      <b/>
      <sz val="11"/>
      <color indexed="10"/>
      <name val="微软雅黑"/>
      <charset val="134"/>
    </font>
    <font>
      <sz val="11"/>
      <color indexed="10"/>
      <name val="微软雅黑"/>
      <charset val="134"/>
    </font>
    <font>
      <sz val="11"/>
      <color theme="1"/>
      <name val="宋体"/>
      <charset val="134"/>
    </font>
    <font>
      <sz val="8"/>
      <color theme="4"/>
      <name val="微软雅黑"/>
      <charset val="134"/>
    </font>
    <font>
      <sz val="11"/>
      <color theme="4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宋体"/>
      <charset val="134"/>
    </font>
    <font>
      <sz val="9"/>
      <name val="Arial"/>
      <charset val="134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u/>
      <sz val="10"/>
      <color indexed="12"/>
      <name val="新細明體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1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5">
    <xf numFmtId="0" fontId="0" fillId="0" borderId="0">
      <alignment vertical="center"/>
    </xf>
    <xf numFmtId="42" fontId="76" fillId="0" borderId="0" applyFont="0" applyFill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1" fillId="9" borderId="41" applyNumberFormat="0" applyAlignment="0" applyProtection="0">
      <alignment vertical="center"/>
    </xf>
    <xf numFmtId="44" fontId="76" fillId="0" borderId="0" applyFont="0" applyFill="0" applyBorder="0" applyAlignment="0" applyProtection="0">
      <alignment vertical="center"/>
    </xf>
    <xf numFmtId="41" fontId="76" fillId="0" borderId="0" applyFont="0" applyFill="0" applyBorder="0" applyAlignment="0" applyProtection="0">
      <alignment vertical="center"/>
    </xf>
    <xf numFmtId="0" fontId="82" fillId="10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43" fontId="76" fillId="0" borderId="0" applyFont="0" applyFill="0" applyBorder="0" applyAlignment="0" applyProtection="0">
      <alignment vertical="center"/>
    </xf>
    <xf numFmtId="0" fontId="86" fillId="16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6" fillId="8" borderId="39" applyNumberFormat="0" applyFont="0" applyAlignment="0" applyProtection="0">
      <alignment vertical="center"/>
    </xf>
    <xf numFmtId="0" fontId="86" fillId="18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>
      <alignment vertical="center"/>
    </xf>
    <xf numFmtId="0" fontId="91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80" fillId="0" borderId="40" applyNumberFormat="0" applyFill="0" applyAlignment="0" applyProtection="0">
      <alignment vertical="center"/>
    </xf>
    <xf numFmtId="0" fontId="92" fillId="0" borderId="40" applyNumberFormat="0" applyFill="0" applyAlignment="0" applyProtection="0">
      <alignment vertical="center"/>
    </xf>
    <xf numFmtId="0" fontId="86" fillId="27" borderId="0" applyNumberFormat="0" applyBorder="0" applyAlignment="0" applyProtection="0">
      <alignment vertical="center"/>
    </xf>
    <xf numFmtId="0" fontId="89" fillId="0" borderId="45" applyNumberFormat="0" applyFill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95" fillId="26" borderId="46" applyNumberFormat="0" applyAlignment="0" applyProtection="0">
      <alignment vertical="center"/>
    </xf>
    <xf numFmtId="177" fontId="0" fillId="0" borderId="0">
      <alignment vertical="center"/>
    </xf>
    <xf numFmtId="0" fontId="94" fillId="26" borderId="41" applyNumberFormat="0" applyAlignment="0" applyProtection="0">
      <alignment vertical="center"/>
    </xf>
    <xf numFmtId="0" fontId="84" fillId="13" borderId="42" applyNumberFormat="0" applyAlignment="0" applyProtection="0">
      <alignment vertical="center"/>
    </xf>
    <xf numFmtId="0" fontId="82" fillId="32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8" fillId="0" borderId="44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96" fillId="34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86" fillId="33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82" fillId="12" borderId="0" applyNumberFormat="0" applyBorder="0" applyAlignment="0" applyProtection="0">
      <alignment vertical="center"/>
    </xf>
    <xf numFmtId="0" fontId="82" fillId="20" borderId="0" applyNumberFormat="0" applyBorder="0" applyAlignment="0" applyProtection="0">
      <alignment vertical="center"/>
    </xf>
    <xf numFmtId="0" fontId="86" fillId="28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2" fillId="17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86" fillId="21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90" fillId="0" borderId="0">
      <alignment vertical="center"/>
    </xf>
    <xf numFmtId="0" fontId="90" fillId="0" borderId="0" applyBorder="0"/>
    <xf numFmtId="0" fontId="0" fillId="0" borderId="0">
      <alignment vertical="center"/>
    </xf>
    <xf numFmtId="0" fontId="90" fillId="0" borderId="0"/>
    <xf numFmtId="0" fontId="7" fillId="0" borderId="0">
      <alignment vertical="center"/>
    </xf>
    <xf numFmtId="0" fontId="90" fillId="0" borderId="0"/>
    <xf numFmtId="0" fontId="90" fillId="0" borderId="0"/>
    <xf numFmtId="0" fontId="97" fillId="0" borderId="0"/>
    <xf numFmtId="176" fontId="90" fillId="0" borderId="0" applyFont="0" applyFill="0" applyBorder="0" applyAlignment="0" applyProtection="0">
      <alignment vertical="center"/>
    </xf>
    <xf numFmtId="0" fontId="90" fillId="30" borderId="47" applyNumberFormat="0" applyFont="0" applyAlignment="0" applyProtection="0">
      <alignment vertical="center"/>
    </xf>
    <xf numFmtId="0" fontId="50" fillId="0" borderId="0">
      <alignment vertical="center"/>
    </xf>
    <xf numFmtId="38" fontId="90" fillId="0" borderId="0" applyFon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1" fillId="0" borderId="0" xfId="55" applyNumberFormat="1" applyFont="1" applyFill="1" applyBorder="1" applyAlignment="1" applyProtection="1">
      <alignment horizontal="center" vertical="center"/>
    </xf>
    <xf numFmtId="0" fontId="0" fillId="0" borderId="0" xfId="55" applyFill="1">
      <alignment vertical="center"/>
    </xf>
    <xf numFmtId="0" fontId="0" fillId="0" borderId="0" xfId="55" applyNumberFormat="1" applyFont="1" applyFill="1" applyBorder="1" applyAlignment="1" applyProtection="1">
      <alignment horizontal="center" vertical="center" shrinkToFit="1"/>
    </xf>
    <xf numFmtId="0" fontId="0" fillId="0" borderId="0" xfId="55">
      <alignment vertical="center"/>
    </xf>
    <xf numFmtId="178" fontId="2" fillId="2" borderId="1" xfId="53" applyNumberFormat="1" applyFont="1" applyFill="1" applyBorder="1" applyAlignment="1" applyProtection="1">
      <alignment horizontal="center" vertical="center"/>
    </xf>
    <xf numFmtId="178" fontId="3" fillId="2" borderId="1" xfId="53" applyNumberFormat="1" applyFont="1" applyFill="1" applyBorder="1" applyAlignment="1" applyProtection="1">
      <alignment horizontal="center" vertical="center"/>
    </xf>
    <xf numFmtId="0" fontId="3" fillId="2" borderId="1" xfId="53" applyNumberFormat="1" applyFont="1" applyFill="1" applyBorder="1" applyAlignment="1" applyProtection="1">
      <alignment horizontal="center" vertical="center" wrapText="1"/>
    </xf>
    <xf numFmtId="0" fontId="4" fillId="2" borderId="1" xfId="60" applyNumberFormat="1" applyFont="1" applyFill="1" applyBorder="1" applyAlignment="1" applyProtection="1">
      <alignment horizontal="center" vertical="center" wrapText="1"/>
    </xf>
    <xf numFmtId="0" fontId="5" fillId="2" borderId="1" xfId="60" applyNumberFormat="1" applyFont="1" applyFill="1" applyBorder="1" applyAlignment="1" applyProtection="1">
      <alignment horizontal="center" vertical="center" wrapText="1"/>
    </xf>
    <xf numFmtId="178" fontId="2" fillId="2" borderId="2" xfId="53" applyNumberFormat="1" applyFont="1" applyFill="1" applyBorder="1" applyAlignment="1" applyProtection="1">
      <alignment horizontal="center" vertical="center"/>
    </xf>
    <xf numFmtId="178" fontId="3" fillId="2" borderId="2" xfId="53" applyNumberFormat="1" applyFont="1" applyFill="1" applyBorder="1" applyAlignment="1" applyProtection="1">
      <alignment horizontal="center" vertical="center"/>
    </xf>
    <xf numFmtId="0" fontId="3" fillId="2" borderId="2" xfId="53" applyNumberFormat="1" applyFont="1" applyFill="1" applyBorder="1" applyAlignment="1" applyProtection="1">
      <alignment horizontal="center" vertical="center" wrapText="1"/>
    </xf>
    <xf numFmtId="0" fontId="4" fillId="2" borderId="2" xfId="60" applyNumberFormat="1" applyFont="1" applyFill="1" applyBorder="1" applyAlignment="1" applyProtection="1">
      <alignment horizontal="center" vertical="center" wrapText="1"/>
    </xf>
    <xf numFmtId="0" fontId="5" fillId="2" borderId="2" xfId="60" applyNumberFormat="1" applyFont="1" applyFill="1" applyBorder="1" applyAlignment="1" applyProtection="1">
      <alignment horizontal="center" vertical="center" wrapText="1"/>
    </xf>
    <xf numFmtId="178" fontId="6" fillId="0" borderId="2" xfId="55" applyNumberFormat="1" applyFont="1" applyFill="1" applyBorder="1" applyAlignment="1" applyProtection="1">
      <alignment horizontal="center" vertical="center"/>
    </xf>
    <xf numFmtId="0" fontId="7" fillId="3" borderId="3" xfId="55" applyFont="1" applyFill="1" applyBorder="1" applyAlignment="1">
      <alignment horizontal="center" vertical="center" wrapText="1"/>
    </xf>
    <xf numFmtId="0" fontId="7" fillId="0" borderId="3" xfId="55" applyFont="1" applyFill="1" applyBorder="1" applyAlignment="1">
      <alignment horizontal="center" vertical="center" wrapText="1"/>
    </xf>
    <xf numFmtId="49" fontId="8" fillId="3" borderId="4" xfId="55" applyNumberFormat="1" applyFont="1" applyFill="1" applyBorder="1" applyAlignment="1">
      <alignment horizontal="center" vertical="center" wrapText="1"/>
    </xf>
    <xf numFmtId="0" fontId="0" fillId="3" borderId="3" xfId="55" applyNumberFormat="1" applyFill="1" applyBorder="1" applyAlignment="1">
      <alignment horizontal="center" vertical="center"/>
    </xf>
    <xf numFmtId="0" fontId="0" fillId="0" borderId="4" xfId="55" applyFill="1" applyBorder="1">
      <alignment vertical="center"/>
    </xf>
    <xf numFmtId="178" fontId="6" fillId="3" borderId="2" xfId="55" applyNumberFormat="1" applyFont="1" applyFill="1" applyBorder="1" applyAlignment="1" applyProtection="1">
      <alignment horizontal="center" vertical="center" shrinkToFit="1"/>
    </xf>
    <xf numFmtId="178" fontId="9" fillId="3" borderId="3" xfId="55" applyNumberFormat="1" applyFont="1" applyFill="1" applyBorder="1" applyAlignment="1" applyProtection="1">
      <alignment horizontal="center" vertical="center" shrinkToFit="1"/>
    </xf>
    <xf numFmtId="178" fontId="9" fillId="3" borderId="3" xfId="55" applyNumberFormat="1" applyFont="1" applyFill="1" applyBorder="1" applyAlignment="1" applyProtection="1">
      <alignment horizontal="center" vertical="top" shrinkToFit="1"/>
    </xf>
    <xf numFmtId="0" fontId="8" fillId="3" borderId="3" xfId="55" applyNumberFormat="1" applyFont="1" applyFill="1" applyBorder="1" applyAlignment="1">
      <alignment horizontal="center" vertical="center" shrinkToFit="1"/>
    </xf>
    <xf numFmtId="0" fontId="0" fillId="3" borderId="3" xfId="55" applyNumberFormat="1" applyFont="1" applyFill="1" applyBorder="1" applyAlignment="1" applyProtection="1">
      <alignment horizontal="center" vertical="center" shrinkToFit="1"/>
    </xf>
    <xf numFmtId="0" fontId="0" fillId="3" borderId="3" xfId="55" applyNumberFormat="1" applyFill="1" applyBorder="1" applyAlignment="1">
      <alignment horizontal="center" vertical="center" shrinkToFit="1"/>
    </xf>
    <xf numFmtId="0" fontId="0" fillId="0" borderId="0" xfId="55" applyNumberFormat="1">
      <alignment vertical="center"/>
    </xf>
    <xf numFmtId="0" fontId="0" fillId="0" borderId="0" xfId="55" applyNumberFormat="1" applyAlignment="1">
      <alignment horizontal="center" vertical="center"/>
    </xf>
    <xf numFmtId="0" fontId="0" fillId="2" borderId="3" xfId="55" applyFont="1" applyFill="1" applyBorder="1" applyAlignment="1">
      <alignment horizontal="center" vertical="center"/>
    </xf>
    <xf numFmtId="180" fontId="0" fillId="3" borderId="3" xfId="55" applyNumberFormat="1" applyFont="1" applyFill="1" applyBorder="1" applyAlignment="1">
      <alignment horizontal="center" vertical="center"/>
    </xf>
    <xf numFmtId="14" fontId="4" fillId="2" borderId="1" xfId="60" applyNumberFormat="1" applyFont="1" applyFill="1" applyBorder="1" applyAlignment="1" applyProtection="1">
      <alignment horizontal="center" vertical="center" wrapText="1"/>
    </xf>
    <xf numFmtId="0" fontId="4" fillId="2" borderId="4" xfId="60" applyNumberFormat="1" applyFont="1" applyFill="1" applyBorder="1" applyAlignment="1" applyProtection="1">
      <alignment horizontal="center" vertical="center" wrapText="1"/>
    </xf>
    <xf numFmtId="0" fontId="4" fillId="2" borderId="5" xfId="60" applyNumberFormat="1" applyFont="1" applyFill="1" applyBorder="1" applyAlignment="1" applyProtection="1">
      <alignment horizontal="center" vertical="center" wrapText="1"/>
    </xf>
    <xf numFmtId="0" fontId="4" fillId="2" borderId="6" xfId="60" applyNumberFormat="1" applyFont="1" applyFill="1" applyBorder="1" applyAlignment="1" applyProtection="1">
      <alignment horizontal="center" vertical="center" wrapText="1"/>
    </xf>
    <xf numFmtId="14" fontId="4" fillId="2" borderId="2" xfId="60" applyNumberFormat="1" applyFont="1" applyFill="1" applyBorder="1" applyAlignment="1" applyProtection="1">
      <alignment horizontal="center" vertical="center" wrapText="1"/>
    </xf>
    <xf numFmtId="0" fontId="4" fillId="2" borderId="3" xfId="60" applyNumberFormat="1" applyFont="1" applyFill="1" applyBorder="1" applyAlignment="1" applyProtection="1">
      <alignment horizontal="center" vertical="center" wrapText="1"/>
    </xf>
    <xf numFmtId="14" fontId="0" fillId="3" borderId="4" xfId="55" applyNumberFormat="1" applyFill="1" applyBorder="1">
      <alignment vertical="center"/>
    </xf>
    <xf numFmtId="177" fontId="6" fillId="0" borderId="3" xfId="55" applyNumberFormat="1" applyFont="1" applyFill="1" applyBorder="1" applyAlignment="1">
      <alignment horizontal="center" vertical="center"/>
    </xf>
    <xf numFmtId="0" fontId="0" fillId="3" borderId="4" xfId="55" applyNumberFormat="1" applyFont="1" applyFill="1" applyBorder="1" applyAlignment="1" applyProtection="1">
      <alignment horizontal="center" vertical="center" shrinkToFit="1"/>
    </xf>
    <xf numFmtId="14" fontId="0" fillId="3" borderId="4" xfId="55" applyNumberFormat="1" applyFont="1" applyFill="1" applyBorder="1" applyAlignment="1" applyProtection="1">
      <alignment horizontal="center" vertical="center" shrinkToFit="1"/>
    </xf>
    <xf numFmtId="181" fontId="9" fillId="3" borderId="3" xfId="55" applyNumberFormat="1" applyFont="1" applyFill="1" applyBorder="1" applyAlignment="1" applyProtection="1">
      <alignment horizontal="center" vertical="center" shrinkToFit="1"/>
    </xf>
    <xf numFmtId="14" fontId="0" fillId="0" borderId="0" xfId="55" applyNumberFormat="1">
      <alignment vertical="center"/>
    </xf>
    <xf numFmtId="180" fontId="5" fillId="2" borderId="1" xfId="60" applyNumberFormat="1" applyFont="1" applyFill="1" applyBorder="1" applyAlignment="1" applyProtection="1">
      <alignment horizontal="center" vertical="center" wrapText="1"/>
    </xf>
    <xf numFmtId="0" fontId="5" fillId="2" borderId="4" xfId="60" applyNumberFormat="1" applyFont="1" applyFill="1" applyBorder="1" applyAlignment="1" applyProtection="1">
      <alignment horizontal="center" vertical="center" wrapText="1"/>
    </xf>
    <xf numFmtId="0" fontId="5" fillId="2" borderId="5" xfId="60" applyNumberFormat="1" applyFont="1" applyFill="1" applyBorder="1" applyAlignment="1" applyProtection="1">
      <alignment horizontal="center" vertical="center" wrapText="1"/>
    </xf>
    <xf numFmtId="180" fontId="5" fillId="2" borderId="2" xfId="60" applyNumberFormat="1" applyFont="1" applyFill="1" applyBorder="1" applyAlignment="1" applyProtection="1">
      <alignment horizontal="center" vertical="center" wrapText="1"/>
    </xf>
    <xf numFmtId="0" fontId="5" fillId="2" borderId="3" xfId="60" applyNumberFormat="1" applyFont="1" applyFill="1" applyBorder="1" applyAlignment="1" applyProtection="1">
      <alignment horizontal="center" vertical="center" wrapText="1"/>
    </xf>
    <xf numFmtId="177" fontId="6" fillId="3" borderId="3" xfId="55" applyNumberFormat="1" applyFont="1" applyFill="1" applyBorder="1">
      <alignment vertical="center"/>
    </xf>
    <xf numFmtId="177" fontId="6" fillId="0" borderId="3" xfId="55" applyNumberFormat="1" applyFont="1" applyFill="1" applyBorder="1">
      <alignment vertical="center"/>
    </xf>
    <xf numFmtId="177" fontId="6" fillId="3" borderId="6" xfId="55" applyNumberFormat="1" applyFont="1" applyFill="1" applyBorder="1" applyAlignment="1">
      <alignment horizontal="center" vertical="center"/>
    </xf>
    <xf numFmtId="177" fontId="6" fillId="3" borderId="6" xfId="55" applyNumberFormat="1" applyFont="1" applyFill="1" applyBorder="1">
      <alignment vertical="center"/>
    </xf>
    <xf numFmtId="0" fontId="5" fillId="2" borderId="6" xfId="60" applyNumberFormat="1" applyFont="1" applyFill="1" applyBorder="1" applyAlignment="1" applyProtection="1">
      <alignment horizontal="center" vertical="center" wrapText="1"/>
    </xf>
    <xf numFmtId="181" fontId="6" fillId="3" borderId="6" xfId="55" applyNumberFormat="1" applyFont="1" applyFill="1" applyBorder="1" applyAlignment="1" applyProtection="1">
      <alignment horizontal="center" vertical="center"/>
    </xf>
    <xf numFmtId="180" fontId="10" fillId="3" borderId="3" xfId="28" applyNumberFormat="1" applyFont="1" applyFill="1" applyBorder="1" applyAlignment="1" applyProtection="1">
      <alignment horizontal="center" vertical="center"/>
    </xf>
    <xf numFmtId="180" fontId="11" fillId="3" borderId="3" xfId="60" applyNumberFormat="1" applyFont="1" applyFill="1" applyBorder="1" applyAlignment="1" applyProtection="1">
      <alignment horizontal="center" vertical="center"/>
    </xf>
    <xf numFmtId="181" fontId="6" fillId="0" borderId="0" xfId="55" applyNumberFormat="1" applyFont="1" applyFill="1" applyBorder="1" applyAlignment="1" applyProtection="1">
      <alignment horizontal="center" vertical="center"/>
    </xf>
    <xf numFmtId="0" fontId="0" fillId="0" borderId="0" xfId="55" applyBorder="1">
      <alignment vertical="center"/>
    </xf>
    <xf numFmtId="0" fontId="2" fillId="2" borderId="1" xfId="53" applyNumberFormat="1" applyFont="1" applyFill="1" applyBorder="1" applyAlignment="1" applyProtection="1">
      <alignment horizontal="center" vertical="center" wrapText="1"/>
    </xf>
    <xf numFmtId="180" fontId="3" fillId="2" borderId="1" xfId="53" applyNumberFormat="1" applyFont="1" applyFill="1" applyBorder="1" applyAlignment="1" applyProtection="1">
      <alignment horizontal="center" vertical="center" wrapText="1"/>
    </xf>
    <xf numFmtId="0" fontId="2" fillId="2" borderId="2" xfId="53" applyNumberFormat="1" applyFont="1" applyFill="1" applyBorder="1" applyAlignment="1" applyProtection="1">
      <alignment horizontal="center" vertical="center" wrapText="1"/>
    </xf>
    <xf numFmtId="180" fontId="3" fillId="2" borderId="2" xfId="53" applyNumberFormat="1" applyFont="1" applyFill="1" applyBorder="1" applyAlignment="1" applyProtection="1">
      <alignment horizontal="center" vertical="center" wrapText="1"/>
    </xf>
    <xf numFmtId="181" fontId="6" fillId="3" borderId="3" xfId="55" applyNumberFormat="1" applyFont="1" applyFill="1" applyBorder="1" applyAlignment="1" applyProtection="1">
      <alignment horizontal="center" vertical="center"/>
    </xf>
    <xf numFmtId="180" fontId="8" fillId="0" borderId="3" xfId="55" applyNumberFormat="1" applyFont="1" applyFill="1" applyBorder="1" applyAlignment="1">
      <alignment horizontal="center" vertical="center" wrapText="1"/>
    </xf>
    <xf numFmtId="181" fontId="6" fillId="0" borderId="3" xfId="55" applyNumberFormat="1" applyFont="1" applyFill="1" applyBorder="1" applyAlignment="1" applyProtection="1">
      <alignment horizontal="center" vertical="center"/>
    </xf>
    <xf numFmtId="180" fontId="9" fillId="3" borderId="3" xfId="55" applyNumberFormat="1" applyFont="1" applyFill="1" applyBorder="1" applyAlignment="1" applyProtection="1">
      <alignment horizontal="center" vertical="center" shrinkToFit="1"/>
    </xf>
    <xf numFmtId="181" fontId="6" fillId="3" borderId="3" xfId="55" applyNumberFormat="1" applyFont="1" applyFill="1" applyBorder="1" applyAlignment="1" applyProtection="1">
      <alignment horizontal="center" vertical="center" shrinkToFit="1"/>
    </xf>
    <xf numFmtId="180" fontId="0" fillId="0" borderId="0" xfId="55" applyNumberFormat="1">
      <alignment vertical="center"/>
    </xf>
    <xf numFmtId="49" fontId="4" fillId="2" borderId="1" xfId="60" applyNumberFormat="1" applyFont="1" applyFill="1" applyBorder="1" applyAlignment="1" applyProtection="1">
      <alignment horizontal="center" vertical="center" wrapText="1"/>
    </xf>
    <xf numFmtId="49" fontId="4" fillId="2" borderId="2" xfId="60" applyNumberFormat="1" applyFont="1" applyFill="1" applyBorder="1" applyAlignment="1" applyProtection="1">
      <alignment horizontal="center" vertical="center" wrapText="1"/>
    </xf>
    <xf numFmtId="177" fontId="6" fillId="3" borderId="3" xfId="55" applyNumberFormat="1" applyFont="1" applyFill="1" applyBorder="1" applyAlignment="1">
      <alignment horizontal="center" vertical="center"/>
    </xf>
    <xf numFmtId="0" fontId="11" fillId="3" borderId="3" xfId="55" applyFont="1" applyFill="1" applyBorder="1" applyAlignment="1">
      <alignment horizontal="center" vertical="center"/>
    </xf>
    <xf numFmtId="0" fontId="11" fillId="3" borderId="3" xfId="55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6" fillId="4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>
      <alignment vertical="center"/>
    </xf>
    <xf numFmtId="0" fontId="16" fillId="0" borderId="0" xfId="0" applyFont="1">
      <alignment vertical="center"/>
    </xf>
    <xf numFmtId="0" fontId="0" fillId="0" borderId="0" xfId="0" applyNumberFormat="1">
      <alignment vertical="center"/>
    </xf>
    <xf numFmtId="0" fontId="17" fillId="0" borderId="0" xfId="0" applyFont="1">
      <alignment vertical="center"/>
    </xf>
    <xf numFmtId="0" fontId="18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/>
    <xf numFmtId="0" fontId="21" fillId="5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/>
    </xf>
    <xf numFmtId="49" fontId="22" fillId="0" borderId="3" xfId="0" applyNumberFormat="1" applyFont="1" applyFill="1" applyBorder="1" applyAlignment="1">
      <alignment horizontal="center" vertical="center"/>
    </xf>
    <xf numFmtId="49" fontId="22" fillId="0" borderId="3" xfId="0" applyNumberFormat="1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49" fontId="23" fillId="0" borderId="3" xfId="0" applyNumberFormat="1" applyFont="1" applyFill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/>
    </xf>
    <xf numFmtId="0" fontId="22" fillId="0" borderId="3" xfId="0" applyNumberFormat="1" applyFont="1" applyFill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49" fontId="25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26" fillId="0" borderId="3" xfId="0" applyFont="1" applyBorder="1" applyAlignment="1">
      <alignment horizontal="center" vertical="center"/>
    </xf>
    <xf numFmtId="49" fontId="27" fillId="0" borderId="3" xfId="0" applyNumberFormat="1" applyFont="1" applyBorder="1" applyAlignment="1">
      <alignment horizontal="center" vertical="center"/>
    </xf>
    <xf numFmtId="0" fontId="28" fillId="0" borderId="3" xfId="0" applyFont="1" applyFill="1" applyBorder="1" applyAlignment="1">
      <alignment horizontal="center"/>
    </xf>
    <xf numFmtId="49" fontId="28" fillId="0" borderId="3" xfId="0" applyNumberFormat="1" applyFont="1" applyFill="1" applyBorder="1" applyAlignment="1">
      <alignment horizontal="center" vertical="center"/>
    </xf>
    <xf numFmtId="49" fontId="28" fillId="0" borderId="3" xfId="0" applyNumberFormat="1" applyFont="1" applyFill="1" applyBorder="1" applyAlignment="1">
      <alignment horizontal="center"/>
    </xf>
    <xf numFmtId="0" fontId="28" fillId="0" borderId="3" xfId="0" applyNumberFormat="1" applyFont="1" applyFill="1" applyBorder="1" applyAlignment="1">
      <alignment horizontal="center"/>
    </xf>
    <xf numFmtId="0" fontId="29" fillId="0" borderId="3" xfId="0" applyFont="1" applyBorder="1" applyAlignment="1">
      <alignment horizontal="center" vertical="center"/>
    </xf>
    <xf numFmtId="49" fontId="30" fillId="0" borderId="3" xfId="0" applyNumberFormat="1" applyFont="1" applyBorder="1" applyAlignment="1">
      <alignment horizontal="center" vertical="center"/>
    </xf>
    <xf numFmtId="49" fontId="31" fillId="0" borderId="3" xfId="0" applyNumberFormat="1" applyFont="1" applyFill="1" applyBorder="1" applyAlignment="1" applyProtection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4" fontId="19" fillId="5" borderId="8" xfId="0" applyNumberFormat="1" applyFont="1" applyFill="1" applyBorder="1" applyAlignment="1">
      <alignment horizontal="right" vertical="center"/>
    </xf>
    <xf numFmtId="4" fontId="19" fillId="5" borderId="2" xfId="0" applyNumberFormat="1" applyFont="1" applyFill="1" applyBorder="1" applyAlignment="1">
      <alignment horizontal="right" vertical="center"/>
    </xf>
    <xf numFmtId="4" fontId="19" fillId="5" borderId="9" xfId="0" applyNumberFormat="1" applyFont="1" applyFill="1" applyBorder="1" applyAlignment="1">
      <alignment horizontal="right" vertical="center"/>
    </xf>
    <xf numFmtId="0" fontId="19" fillId="5" borderId="10" xfId="0" applyFont="1" applyFill="1" applyBorder="1" applyAlignment="1">
      <alignment horizontal="left" vertical="center"/>
    </xf>
    <xf numFmtId="4" fontId="19" fillId="5" borderId="11" xfId="0" applyNumberFormat="1" applyFont="1" applyFill="1" applyBorder="1" applyAlignment="1">
      <alignment horizontal="right" vertical="center"/>
    </xf>
    <xf numFmtId="4" fontId="19" fillId="5" borderId="12" xfId="0" applyNumberFormat="1" applyFont="1" applyFill="1" applyBorder="1" applyAlignment="1">
      <alignment horizontal="right" vertical="center"/>
    </xf>
    <xf numFmtId="4" fontId="19" fillId="5" borderId="13" xfId="0" applyNumberFormat="1" applyFont="1" applyFill="1" applyBorder="1" applyAlignment="1">
      <alignment horizontal="right" vertical="center"/>
    </xf>
    <xf numFmtId="0" fontId="0" fillId="0" borderId="0" xfId="0" applyAlignment="1"/>
    <xf numFmtId="0" fontId="26" fillId="0" borderId="0" xfId="0" applyFont="1">
      <alignment vertical="center"/>
    </xf>
    <xf numFmtId="0" fontId="0" fillId="6" borderId="0" xfId="0" applyFont="1" applyFill="1">
      <alignment vertical="center"/>
    </xf>
    <xf numFmtId="0" fontId="0" fillId="6" borderId="0" xfId="0" applyFill="1">
      <alignment vertical="center"/>
    </xf>
    <xf numFmtId="0" fontId="32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31" fillId="0" borderId="3" xfId="0" applyNumberFormat="1" applyFont="1" applyFill="1" applyBorder="1" applyAlignment="1" applyProtection="1">
      <alignment horizontal="center" vertical="center" wrapText="1"/>
    </xf>
    <xf numFmtId="4" fontId="19" fillId="5" borderId="14" xfId="0" applyNumberFormat="1" applyFont="1" applyFill="1" applyBorder="1" applyAlignment="1">
      <alignment horizontal="right" vertical="center"/>
    </xf>
    <xf numFmtId="177" fontId="22" fillId="0" borderId="3" xfId="0" applyNumberFormat="1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"/>
    </xf>
    <xf numFmtId="177" fontId="28" fillId="0" borderId="3" xfId="0" applyNumberFormat="1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0" fillId="4" borderId="0" xfId="0" applyNumberFormat="1" applyFill="1">
      <alignment vertical="center"/>
    </xf>
    <xf numFmtId="0" fontId="6" fillId="4" borderId="0" xfId="0" applyNumberFormat="1" applyFont="1" applyFill="1">
      <alignment vertical="center"/>
    </xf>
    <xf numFmtId="0" fontId="19" fillId="5" borderId="3" xfId="0" applyNumberFormat="1" applyFont="1" applyFill="1" applyBorder="1" applyAlignment="1">
      <alignment horizontal="center" vertical="center" wrapText="1"/>
    </xf>
    <xf numFmtId="0" fontId="10" fillId="5" borderId="3" xfId="0" applyNumberFormat="1" applyFont="1" applyFill="1" applyBorder="1" applyAlignment="1">
      <alignment horizontal="center" vertical="center" wrapText="1"/>
    </xf>
    <xf numFmtId="0" fontId="22" fillId="0" borderId="3" xfId="0" applyNumberFormat="1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/>
    </xf>
    <xf numFmtId="0" fontId="28" fillId="0" borderId="3" xfId="0" applyNumberFormat="1" applyFont="1" applyFill="1" applyBorder="1" applyAlignment="1">
      <alignment horizontal="center" vertical="center"/>
    </xf>
    <xf numFmtId="0" fontId="19" fillId="5" borderId="14" xfId="0" applyNumberFormat="1" applyFont="1" applyFill="1" applyBorder="1" applyAlignment="1">
      <alignment horizontal="right" vertical="center"/>
    </xf>
    <xf numFmtId="0" fontId="0" fillId="0" borderId="0" xfId="0" applyNumberFormat="1" applyAlignment="1"/>
    <xf numFmtId="0" fontId="15" fillId="0" borderId="0" xfId="0" applyNumberFormat="1" applyFont="1" applyFill="1">
      <alignment vertical="center"/>
    </xf>
    <xf numFmtId="0" fontId="16" fillId="0" borderId="0" xfId="0" applyNumberFormat="1" applyFont="1">
      <alignment vertical="center"/>
    </xf>
    <xf numFmtId="0" fontId="17" fillId="4" borderId="0" xfId="0" applyFont="1" applyFill="1">
      <alignment vertical="center"/>
    </xf>
    <xf numFmtId="0" fontId="33" fillId="4" borderId="0" xfId="0" applyFont="1" applyFill="1">
      <alignment vertical="center"/>
    </xf>
    <xf numFmtId="0" fontId="34" fillId="5" borderId="6" xfId="0" applyFont="1" applyFill="1" applyBorder="1" applyAlignment="1">
      <alignment horizontal="center" vertical="center" wrapText="1"/>
    </xf>
    <xf numFmtId="4" fontId="35" fillId="0" borderId="3" xfId="0" applyNumberFormat="1" applyFont="1" applyFill="1" applyBorder="1" applyAlignment="1">
      <alignment horizontal="center" vertical="center" wrapText="1"/>
    </xf>
    <xf numFmtId="0" fontId="35" fillId="0" borderId="3" xfId="0" applyNumberFormat="1" applyFont="1" applyFill="1" applyBorder="1" applyAlignment="1">
      <alignment horizontal="center" vertical="center" wrapText="1"/>
    </xf>
    <xf numFmtId="49" fontId="36" fillId="0" borderId="6" xfId="0" applyNumberFormat="1" applyFont="1" applyFill="1" applyBorder="1" applyAlignment="1">
      <alignment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49" fontId="37" fillId="0" borderId="6" xfId="0" applyNumberFormat="1" applyFont="1" applyFill="1" applyBorder="1" applyAlignment="1">
      <alignment vertical="center"/>
    </xf>
    <xf numFmtId="49" fontId="38" fillId="0" borderId="6" xfId="0" applyNumberFormat="1" applyFont="1" applyFill="1" applyBorder="1" applyAlignment="1">
      <alignment vertical="center" wrapText="1"/>
    </xf>
    <xf numFmtId="49" fontId="39" fillId="0" borderId="6" xfId="0" applyNumberFormat="1" applyFont="1" applyFill="1" applyBorder="1" applyAlignment="1">
      <alignment vertical="center"/>
    </xf>
    <xf numFmtId="4" fontId="40" fillId="0" borderId="3" xfId="0" applyNumberFormat="1" applyFont="1" applyFill="1" applyBorder="1" applyAlignment="1">
      <alignment horizontal="center" vertical="center" wrapText="1"/>
    </xf>
    <xf numFmtId="0" fontId="40" fillId="0" borderId="3" xfId="0" applyNumberFormat="1" applyFont="1" applyFill="1" applyBorder="1" applyAlignment="1">
      <alignment horizontal="center" vertical="center" wrapText="1"/>
    </xf>
    <xf numFmtId="4" fontId="19" fillId="5" borderId="4" xfId="0" applyNumberFormat="1" applyFont="1" applyFill="1" applyBorder="1" applyAlignment="1">
      <alignment horizontal="center" vertical="center"/>
    </xf>
    <xf numFmtId="4" fontId="19" fillId="5" borderId="6" xfId="0" applyNumberFormat="1" applyFont="1" applyFill="1" applyBorder="1" applyAlignment="1">
      <alignment horizontal="center" vertical="center"/>
    </xf>
    <xf numFmtId="4" fontId="34" fillId="5" borderId="3" xfId="0" applyNumberFormat="1" applyFont="1" applyFill="1" applyBorder="1" applyAlignment="1">
      <alignment horizontal="right" vertical="center"/>
    </xf>
    <xf numFmtId="4" fontId="19" fillId="5" borderId="9" xfId="0" applyNumberFormat="1" applyFont="1" applyFill="1" applyBorder="1" applyAlignment="1">
      <alignment horizontal="center" vertical="center"/>
    </xf>
    <xf numFmtId="4" fontId="34" fillId="5" borderId="15" xfId="0" applyNumberFormat="1" applyFont="1" applyFill="1" applyBorder="1" applyAlignment="1">
      <alignment horizontal="right" vertical="center"/>
    </xf>
    <xf numFmtId="0" fontId="17" fillId="0" borderId="0" xfId="0" applyFont="1" applyAlignment="1"/>
    <xf numFmtId="0" fontId="41" fillId="0" borderId="0" xfId="0" applyFont="1" applyFill="1">
      <alignment vertical="center"/>
    </xf>
    <xf numFmtId="0" fontId="42" fillId="0" borderId="0" xfId="0" applyFont="1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38" fillId="0" borderId="0" xfId="0" applyFont="1" applyFill="1">
      <alignment vertical="center"/>
    </xf>
    <xf numFmtId="0" fontId="43" fillId="0" borderId="0" xfId="0" applyFont="1" applyFill="1">
      <alignment vertical="center"/>
    </xf>
    <xf numFmtId="0" fontId="0" fillId="0" borderId="0" xfId="0" applyFill="1">
      <alignment vertical="center"/>
    </xf>
    <xf numFmtId="0" fontId="44" fillId="0" borderId="0" xfId="0" applyFont="1" applyFill="1">
      <alignment vertical="center"/>
    </xf>
    <xf numFmtId="0" fontId="45" fillId="0" borderId="0" xfId="0" applyFont="1" applyFill="1">
      <alignment vertical="center"/>
    </xf>
    <xf numFmtId="0" fontId="46" fillId="4" borderId="0" xfId="63" applyFont="1" applyFill="1" applyBorder="1" applyAlignment="1">
      <alignment horizontal="center" vertical="center"/>
    </xf>
    <xf numFmtId="0" fontId="47" fillId="4" borderId="0" xfId="63" applyNumberFormat="1" applyFont="1" applyFill="1" applyBorder="1" applyAlignment="1" applyProtection="1">
      <alignment horizontal="center" vertical="center"/>
      <protection locked="0"/>
    </xf>
    <xf numFmtId="0" fontId="47" fillId="4" borderId="0" xfId="63" applyNumberFormat="1" applyFont="1" applyFill="1" applyBorder="1" applyAlignment="1" applyProtection="1">
      <alignment horizontal="left" vertical="center"/>
      <protection locked="0"/>
    </xf>
    <xf numFmtId="0" fontId="48" fillId="4" borderId="0" xfId="63" applyNumberFormat="1" applyFont="1" applyFill="1" applyBorder="1" applyAlignment="1" applyProtection="1">
      <alignment horizontal="center" vertical="center"/>
      <protection locked="0"/>
    </xf>
    <xf numFmtId="0" fontId="49" fillId="4" borderId="0" xfId="63" applyNumberFormat="1" applyFont="1" applyFill="1" applyBorder="1" applyAlignment="1" applyProtection="1">
      <alignment horizontal="left" vertical="center"/>
      <protection locked="0"/>
    </xf>
    <xf numFmtId="0" fontId="50" fillId="4" borderId="0" xfId="0" applyFont="1" applyFill="1" applyBorder="1" applyAlignment="1" applyProtection="1">
      <alignment horizontal="right" vertical="center"/>
      <protection locked="0"/>
    </xf>
    <xf numFmtId="49" fontId="51" fillId="4" borderId="0" xfId="64" applyNumberFormat="1" applyFont="1" applyFill="1" applyBorder="1" applyAlignment="1" applyProtection="1">
      <alignment horizontal="left" vertical="center"/>
      <protection locked="0"/>
    </xf>
    <xf numFmtId="0" fontId="52" fillId="4" borderId="0" xfId="0" applyFont="1" applyFill="1" applyBorder="1" applyAlignment="1" applyProtection="1">
      <alignment horizontal="left" vertical="center"/>
      <protection locked="0"/>
    </xf>
    <xf numFmtId="0" fontId="53" fillId="4" borderId="0" xfId="63" applyFont="1" applyFill="1" applyBorder="1" applyAlignment="1">
      <alignment horizontal="right" vertical="center"/>
    </xf>
    <xf numFmtId="14" fontId="54" fillId="4" borderId="0" xfId="0" applyNumberFormat="1" applyFont="1" applyFill="1" applyBorder="1" applyAlignment="1" applyProtection="1">
      <alignment horizontal="left" vertical="center"/>
      <protection locked="0"/>
    </xf>
    <xf numFmtId="0" fontId="54" fillId="4" borderId="0" xfId="0" applyFont="1" applyFill="1" applyBorder="1" applyAlignment="1" applyProtection="1">
      <alignment horizontal="right" vertical="center"/>
      <protection locked="0"/>
    </xf>
    <xf numFmtId="0" fontId="55" fillId="4" borderId="0" xfId="0" applyFont="1" applyFill="1" applyBorder="1" applyAlignment="1">
      <alignment horizontal="left" vertical="center"/>
    </xf>
    <xf numFmtId="0" fontId="55" fillId="4" borderId="0" xfId="0" applyFont="1" applyFill="1" applyAlignment="1">
      <alignment horizontal="left" vertical="center"/>
    </xf>
    <xf numFmtId="0" fontId="49" fillId="4" borderId="0" xfId="63" applyNumberFormat="1" applyFont="1" applyFill="1" applyBorder="1" applyAlignment="1" applyProtection="1">
      <alignment horizontal="center" vertical="center"/>
      <protection locked="0"/>
    </xf>
    <xf numFmtId="0" fontId="55" fillId="4" borderId="0" xfId="0" applyFont="1" applyFill="1" applyBorder="1" applyAlignment="1" applyProtection="1">
      <alignment horizontal="left" vertical="center"/>
      <protection locked="0"/>
    </xf>
    <xf numFmtId="0" fontId="56" fillId="4" borderId="0" xfId="63" applyNumberFormat="1" applyFont="1" applyFill="1" applyBorder="1" applyAlignment="1" applyProtection="1">
      <alignment horizontal="center" vertical="center"/>
      <protection locked="0"/>
    </xf>
    <xf numFmtId="179" fontId="54" fillId="4" borderId="0" xfId="64" applyNumberFormat="1" applyFont="1" applyFill="1" applyBorder="1" applyAlignment="1" applyProtection="1">
      <alignment horizontal="left" vertical="center"/>
      <protection locked="0"/>
    </xf>
    <xf numFmtId="0" fontId="57" fillId="4" borderId="16" xfId="0" applyFont="1" applyFill="1" applyBorder="1" applyAlignment="1" applyProtection="1">
      <alignment horizontal="center" vertical="center"/>
      <protection locked="0"/>
    </xf>
    <xf numFmtId="0" fontId="57" fillId="4" borderId="17" xfId="0" applyFont="1" applyFill="1" applyBorder="1" applyAlignment="1" applyProtection="1">
      <alignment horizontal="center" vertical="center"/>
      <protection locked="0"/>
    </xf>
    <xf numFmtId="0" fontId="5" fillId="4" borderId="18" xfId="20" applyNumberFormat="1" applyFont="1" applyFill="1" applyBorder="1" applyAlignment="1" applyProtection="1">
      <alignment horizontal="left" vertical="center"/>
      <protection locked="0"/>
    </xf>
    <xf numFmtId="0" fontId="5" fillId="4" borderId="2" xfId="20" applyNumberFormat="1" applyFont="1" applyFill="1" applyBorder="1" applyAlignment="1" applyProtection="1">
      <alignment horizontal="left" vertical="center"/>
      <protection locked="0"/>
    </xf>
    <xf numFmtId="43" fontId="58" fillId="4" borderId="4" xfId="0" applyNumberFormat="1" applyFont="1" applyFill="1" applyBorder="1" applyAlignment="1" applyProtection="1">
      <alignment horizontal="left" vertical="center" shrinkToFit="1"/>
    </xf>
    <xf numFmtId="43" fontId="58" fillId="4" borderId="5" xfId="0" applyNumberFormat="1" applyFont="1" applyFill="1" applyBorder="1" applyAlignment="1" applyProtection="1">
      <alignment horizontal="left" vertical="center" shrinkToFit="1"/>
    </xf>
    <xf numFmtId="43" fontId="58" fillId="4" borderId="19" xfId="0" applyNumberFormat="1" applyFont="1" applyFill="1" applyBorder="1" applyAlignment="1" applyProtection="1">
      <alignment horizontal="left" vertical="center" shrinkToFit="1"/>
    </xf>
    <xf numFmtId="0" fontId="5" fillId="4" borderId="20" xfId="20" applyNumberFormat="1" applyFont="1" applyFill="1" applyBorder="1" applyAlignment="1" applyProtection="1">
      <alignment horizontal="left" vertical="center"/>
      <protection locked="0"/>
    </xf>
    <xf numFmtId="0" fontId="5" fillId="4" borderId="21" xfId="20" applyNumberFormat="1" applyFont="1" applyFill="1" applyBorder="1" applyAlignment="1" applyProtection="1">
      <alignment horizontal="left" vertical="center"/>
      <protection locked="0"/>
    </xf>
    <xf numFmtId="182" fontId="58" fillId="4" borderId="22" xfId="0" applyNumberFormat="1" applyFont="1" applyFill="1" applyBorder="1" applyAlignment="1" applyProtection="1">
      <alignment horizontal="right" vertical="center" shrinkToFit="1"/>
    </xf>
    <xf numFmtId="182" fontId="58" fillId="4" borderId="23" xfId="0" applyNumberFormat="1" applyFont="1" applyFill="1" applyBorder="1" applyAlignment="1" applyProtection="1">
      <alignment horizontal="right" vertical="center" shrinkToFit="1"/>
    </xf>
    <xf numFmtId="182" fontId="58" fillId="4" borderId="24" xfId="0" applyNumberFormat="1" applyFont="1" applyFill="1" applyBorder="1" applyAlignment="1" applyProtection="1">
      <alignment horizontal="right" vertical="center" shrinkToFit="1"/>
    </xf>
    <xf numFmtId="0" fontId="11" fillId="4" borderId="18" xfId="64" applyNumberFormat="1" applyFont="1" applyFill="1" applyBorder="1" applyAlignment="1" applyProtection="1">
      <alignment horizontal="left" vertical="center"/>
      <protection locked="0"/>
    </xf>
    <xf numFmtId="0" fontId="11" fillId="4" borderId="2" xfId="64" applyNumberFormat="1" applyFont="1" applyFill="1" applyBorder="1" applyAlignment="1" applyProtection="1">
      <alignment horizontal="left" vertical="center"/>
      <protection locked="0"/>
    </xf>
    <xf numFmtId="43" fontId="59" fillId="4" borderId="2" xfId="0" applyNumberFormat="1" applyFont="1" applyFill="1" applyBorder="1" applyAlignment="1" applyProtection="1">
      <alignment horizontal="left" vertical="center" shrinkToFit="1"/>
    </xf>
    <xf numFmtId="0" fontId="11" fillId="4" borderId="25" xfId="64" applyNumberFormat="1" applyFont="1" applyFill="1" applyBorder="1" applyAlignment="1" applyProtection="1">
      <alignment horizontal="left" vertical="center"/>
      <protection locked="0"/>
    </xf>
    <xf numFmtId="0" fontId="11" fillId="4" borderId="26" xfId="64" applyNumberFormat="1" applyFont="1" applyFill="1" applyBorder="1" applyAlignment="1" applyProtection="1">
      <alignment horizontal="left" vertical="center"/>
      <protection locked="0"/>
    </xf>
    <xf numFmtId="0" fontId="11" fillId="4" borderId="27" xfId="64" applyNumberFormat="1" applyFont="1" applyFill="1" applyBorder="1" applyAlignment="1" applyProtection="1">
      <alignment horizontal="left" vertical="center"/>
      <protection locked="0"/>
    </xf>
    <xf numFmtId="43" fontId="59" fillId="4" borderId="28" xfId="0" applyNumberFormat="1" applyFont="1" applyFill="1" applyBorder="1" applyAlignment="1" applyProtection="1">
      <alignment horizontal="left" vertical="center" shrinkToFit="1"/>
      <protection locked="0"/>
    </xf>
    <xf numFmtId="0" fontId="6" fillId="4" borderId="29" xfId="54" applyFont="1" applyFill="1" applyBorder="1" applyAlignment="1">
      <alignment vertical="center"/>
    </xf>
    <xf numFmtId="0" fontId="6" fillId="4" borderId="3" xfId="54" applyFont="1" applyFill="1" applyBorder="1" applyAlignment="1">
      <alignment vertical="center"/>
    </xf>
    <xf numFmtId="43" fontId="59" fillId="4" borderId="3" xfId="0" applyNumberFormat="1" applyFont="1" applyFill="1" applyBorder="1" applyAlignment="1" applyProtection="1">
      <alignment horizontal="left" vertical="center" shrinkToFit="1"/>
      <protection locked="0"/>
    </xf>
    <xf numFmtId="0" fontId="6" fillId="4" borderId="4" xfId="54" applyFont="1" applyFill="1" applyBorder="1" applyAlignment="1">
      <alignment horizontal="left" vertical="center"/>
    </xf>
    <xf numFmtId="0" fontId="6" fillId="4" borderId="5" xfId="54" applyFont="1" applyFill="1" applyBorder="1" applyAlignment="1">
      <alignment horizontal="left" vertical="center"/>
    </xf>
    <xf numFmtId="0" fontId="6" fillId="4" borderId="6" xfId="54" applyFont="1" applyFill="1" applyBorder="1" applyAlignment="1">
      <alignment horizontal="left" vertical="center"/>
    </xf>
    <xf numFmtId="43" fontId="59" fillId="4" borderId="30" xfId="0" applyNumberFormat="1" applyFont="1" applyFill="1" applyBorder="1" applyAlignment="1" applyProtection="1">
      <alignment horizontal="left" vertical="center" shrinkToFit="1"/>
      <protection locked="0"/>
    </xf>
    <xf numFmtId="0" fontId="6" fillId="4" borderId="31" xfId="54" applyFont="1" applyFill="1" applyBorder="1" applyAlignment="1">
      <alignment vertical="center"/>
    </xf>
    <xf numFmtId="0" fontId="6" fillId="4" borderId="32" xfId="54" applyFont="1" applyFill="1" applyBorder="1" applyAlignment="1">
      <alignment vertical="center"/>
    </xf>
    <xf numFmtId="43" fontId="59" fillId="4" borderId="32" xfId="64" applyNumberFormat="1" applyFont="1" applyFill="1" applyBorder="1" applyAlignment="1" applyProtection="1">
      <alignment horizontal="left" vertical="center" shrinkToFit="1"/>
      <protection locked="0"/>
    </xf>
    <xf numFmtId="183" fontId="11" fillId="4" borderId="33" xfId="64" applyNumberFormat="1" applyFont="1" applyFill="1" applyBorder="1" applyAlignment="1" applyProtection="1">
      <alignment horizontal="left" vertical="center"/>
      <protection locked="0"/>
    </xf>
    <xf numFmtId="183" fontId="11" fillId="4" borderId="34" xfId="64" applyNumberFormat="1" applyFont="1" applyFill="1" applyBorder="1" applyAlignment="1" applyProtection="1">
      <alignment horizontal="left" vertical="center"/>
      <protection locked="0"/>
    </xf>
    <xf numFmtId="183" fontId="11" fillId="4" borderId="35" xfId="64" applyNumberFormat="1" applyFont="1" applyFill="1" applyBorder="1" applyAlignment="1" applyProtection="1">
      <alignment horizontal="left" vertical="center"/>
      <protection locked="0"/>
    </xf>
    <xf numFmtId="43" fontId="59" fillId="4" borderId="36" xfId="64" applyNumberFormat="1" applyFont="1" applyFill="1" applyBorder="1" applyAlignment="1" applyProtection="1">
      <alignment horizontal="left" vertical="center" shrinkToFit="1"/>
      <protection locked="0"/>
    </xf>
    <xf numFmtId="184" fontId="60" fillId="4" borderId="0" xfId="64" applyNumberFormat="1" applyFont="1" applyFill="1" applyBorder="1" applyAlignment="1" applyProtection="1">
      <alignment horizontal="left" vertical="center"/>
      <protection locked="0"/>
    </xf>
    <xf numFmtId="0" fontId="61" fillId="0" borderId="16" xfId="58" applyFont="1" applyFill="1" applyBorder="1" applyAlignment="1">
      <alignment horizontal="center" vertical="center" wrapText="1"/>
    </xf>
    <xf numFmtId="0" fontId="61" fillId="0" borderId="37" xfId="58" applyFont="1" applyFill="1" applyBorder="1" applyAlignment="1">
      <alignment horizontal="center" vertical="center" wrapText="1"/>
    </xf>
    <xf numFmtId="185" fontId="61" fillId="0" borderId="37" xfId="58" applyNumberFormat="1" applyFont="1" applyFill="1" applyBorder="1" applyAlignment="1">
      <alignment horizontal="center" vertical="center" wrapText="1"/>
    </xf>
    <xf numFmtId="186" fontId="61" fillId="0" borderId="37" xfId="58" applyNumberFormat="1" applyFont="1" applyFill="1" applyBorder="1" applyAlignment="1">
      <alignment horizontal="center" vertical="center" wrapText="1"/>
    </xf>
    <xf numFmtId="0" fontId="61" fillId="0" borderId="38" xfId="58" applyFont="1" applyFill="1" applyBorder="1" applyAlignment="1">
      <alignment horizontal="center" vertical="center" wrapText="1"/>
    </xf>
    <xf numFmtId="0" fontId="62" fillId="0" borderId="29" xfId="58" applyFont="1" applyFill="1" applyBorder="1" applyAlignment="1">
      <alignment horizontal="center" vertical="center"/>
    </xf>
    <xf numFmtId="0" fontId="62" fillId="0" borderId="3" xfId="58" applyFont="1" applyFill="1" applyBorder="1" applyAlignment="1">
      <alignment horizontal="center" vertical="center"/>
    </xf>
    <xf numFmtId="43" fontId="62" fillId="0" borderId="3" xfId="58" applyNumberFormat="1" applyFont="1" applyFill="1" applyBorder="1" applyAlignment="1">
      <alignment horizontal="left" vertical="center"/>
    </xf>
    <xf numFmtId="185" fontId="62" fillId="0" borderId="3" xfId="58" applyNumberFormat="1" applyFont="1" applyFill="1" applyBorder="1" applyAlignment="1">
      <alignment horizontal="center" vertical="center"/>
    </xf>
    <xf numFmtId="186" fontId="62" fillId="0" borderId="3" xfId="58" applyNumberFormat="1" applyFont="1" applyFill="1" applyBorder="1" applyAlignment="1">
      <alignment horizontal="right" vertical="center"/>
    </xf>
    <xf numFmtId="0" fontId="62" fillId="0" borderId="30" xfId="58" applyFont="1" applyFill="1" applyBorder="1" applyAlignment="1">
      <alignment horizontal="left" vertical="center"/>
    </xf>
    <xf numFmtId="43" fontId="62" fillId="0" borderId="3" xfId="58" applyNumberFormat="1" applyFont="1" applyFill="1" applyBorder="1" applyAlignment="1">
      <alignment vertical="center"/>
    </xf>
    <xf numFmtId="43" fontId="62" fillId="0" borderId="3" xfId="58" applyNumberFormat="1" applyFont="1" applyFill="1" applyBorder="1" applyAlignment="1">
      <alignment horizontal="center" vertical="center"/>
    </xf>
    <xf numFmtId="0" fontId="62" fillId="0" borderId="30" xfId="58" applyFont="1" applyFill="1" applyBorder="1" applyAlignment="1">
      <alignment vertical="center" wrapText="1"/>
    </xf>
    <xf numFmtId="43" fontId="63" fillId="0" borderId="3" xfId="58" applyNumberFormat="1" applyFont="1" applyFill="1" applyBorder="1" applyAlignment="1">
      <alignment horizontal="center" vertical="center"/>
    </xf>
    <xf numFmtId="186" fontId="63" fillId="0" borderId="3" xfId="58" applyNumberFormat="1" applyFont="1" applyFill="1" applyBorder="1" applyAlignment="1">
      <alignment horizontal="right" vertical="center"/>
    </xf>
    <xf numFmtId="0" fontId="62" fillId="0" borderId="30" xfId="58" applyFont="1" applyFill="1" applyBorder="1" applyAlignment="1">
      <alignment vertical="center"/>
    </xf>
    <xf numFmtId="0" fontId="64" fillId="7" borderId="29" xfId="58" applyFont="1" applyFill="1" applyBorder="1" applyAlignment="1">
      <alignment horizontal="center" vertical="center"/>
    </xf>
    <xf numFmtId="0" fontId="64" fillId="7" borderId="3" xfId="58" applyFont="1" applyFill="1" applyBorder="1" applyAlignment="1">
      <alignment horizontal="center" vertical="center"/>
    </xf>
    <xf numFmtId="186" fontId="64" fillId="7" borderId="3" xfId="58" applyNumberFormat="1" applyFont="1" applyFill="1" applyBorder="1" applyAlignment="1">
      <alignment vertical="center"/>
    </xf>
    <xf numFmtId="0" fontId="62" fillId="7" borderId="30" xfId="58" applyFont="1" applyFill="1" applyBorder="1" applyAlignment="1">
      <alignment horizontal="left" vertical="center"/>
    </xf>
    <xf numFmtId="0" fontId="64" fillId="7" borderId="31" xfId="58" applyFont="1" applyFill="1" applyBorder="1" applyAlignment="1">
      <alignment horizontal="center" vertical="center"/>
    </xf>
    <xf numFmtId="0" fontId="64" fillId="7" borderId="32" xfId="58" applyFont="1" applyFill="1" applyBorder="1" applyAlignment="1">
      <alignment horizontal="center" vertical="center"/>
    </xf>
    <xf numFmtId="186" fontId="64" fillId="7" borderId="32" xfId="58" applyNumberFormat="1" applyFont="1" applyFill="1" applyBorder="1" applyAlignment="1">
      <alignment vertical="center"/>
    </xf>
    <xf numFmtId="0" fontId="62" fillId="7" borderId="36" xfId="58" applyFont="1" applyFill="1" applyBorder="1" applyAlignment="1">
      <alignment horizontal="left" vertical="center"/>
    </xf>
    <xf numFmtId="179" fontId="54" fillId="4" borderId="0" xfId="64" applyNumberFormat="1" applyFont="1" applyFill="1" applyBorder="1" applyAlignment="1" applyProtection="1">
      <alignment horizontal="right" vertical="center"/>
      <protection locked="0"/>
    </xf>
    <xf numFmtId="0" fontId="10" fillId="4" borderId="0" xfId="63" applyFont="1" applyFill="1" applyBorder="1" applyAlignment="1">
      <alignment horizontal="right" vertical="center"/>
    </xf>
    <xf numFmtId="14" fontId="51" fillId="4" borderId="0" xfId="0" applyNumberFormat="1" applyFont="1" applyFill="1" applyBorder="1" applyAlignment="1" applyProtection="1">
      <alignment horizontal="left" vertical="center"/>
      <protection locked="0"/>
    </xf>
    <xf numFmtId="0" fontId="65" fillId="4" borderId="0" xfId="63" applyNumberFormat="1" applyFont="1" applyFill="1" applyBorder="1" applyAlignment="1" applyProtection="1">
      <alignment horizontal="right" vertical="center"/>
      <protection locked="0"/>
    </xf>
    <xf numFmtId="0" fontId="66" fillId="4" borderId="0" xfId="63" applyNumberFormat="1" applyFont="1" applyFill="1" applyBorder="1" applyAlignment="1" applyProtection="1">
      <alignment horizontal="left" vertical="center"/>
      <protection locked="0"/>
    </xf>
    <xf numFmtId="0" fontId="67" fillId="4" borderId="0" xfId="63" applyNumberFormat="1" applyFont="1" applyFill="1" applyBorder="1" applyAlignment="1" applyProtection="1">
      <alignment horizontal="right" vertical="center"/>
      <protection locked="0"/>
    </xf>
    <xf numFmtId="0" fontId="68" fillId="4" borderId="0" xfId="63" applyNumberFormat="1" applyFont="1" applyFill="1" applyBorder="1" applyAlignment="1" applyProtection="1">
      <alignment horizontal="left" vertical="center"/>
      <protection locked="0"/>
    </xf>
    <xf numFmtId="0" fontId="69" fillId="4" borderId="0" xfId="63" applyNumberFormat="1" applyFont="1" applyFill="1" applyBorder="1" applyAlignment="1" applyProtection="1">
      <alignment horizontal="left" vertical="center"/>
      <protection locked="0"/>
    </xf>
    <xf numFmtId="0" fontId="70" fillId="4" borderId="0" xfId="63" applyNumberFormat="1" applyFont="1" applyFill="1" applyBorder="1" applyAlignment="1" applyProtection="1">
      <alignment horizontal="left" vertical="center"/>
      <protection locked="0"/>
    </xf>
    <xf numFmtId="0" fontId="71" fillId="4" borderId="0" xfId="63" applyNumberFormat="1" applyFont="1" applyFill="1" applyBorder="1" applyAlignment="1" applyProtection="1">
      <alignment horizontal="left" vertical="center"/>
      <protection locked="0"/>
    </xf>
    <xf numFmtId="0" fontId="55" fillId="4" borderId="0" xfId="59" applyFont="1" applyFill="1" applyBorder="1" applyAlignment="1">
      <alignment horizontal="left" vertical="center"/>
    </xf>
    <xf numFmtId="0" fontId="55" fillId="4" borderId="0" xfId="59" applyFont="1" applyFill="1" applyAlignment="1">
      <alignment horizontal="left" vertical="center"/>
    </xf>
    <xf numFmtId="0" fontId="70" fillId="4" borderId="0" xfId="63" applyNumberFormat="1" applyFont="1" applyFill="1" applyBorder="1" applyAlignment="1" applyProtection="1">
      <alignment horizontal="right" vertical="center"/>
      <protection locked="0"/>
    </xf>
    <xf numFmtId="0" fontId="55" fillId="4" borderId="0" xfId="59" applyFont="1" applyFill="1" applyBorder="1" applyAlignment="1">
      <alignment horizontal="left" vertical="center" wrapText="1"/>
    </xf>
    <xf numFmtId="0" fontId="55" fillId="4" borderId="0" xfId="59" applyFont="1" applyFill="1" applyAlignment="1">
      <alignment horizontal="left" vertical="center" wrapText="1"/>
    </xf>
    <xf numFmtId="49" fontId="72" fillId="4" borderId="0" xfId="63" applyNumberFormat="1" applyFont="1" applyFill="1" applyBorder="1" applyAlignment="1" applyProtection="1">
      <alignment horizontal="left" vertical="center"/>
      <protection locked="0"/>
    </xf>
    <xf numFmtId="0" fontId="73" fillId="4" borderId="0" xfId="0" applyFont="1" applyFill="1" applyBorder="1" applyAlignment="1">
      <alignment horizontal="left" vertical="center"/>
    </xf>
    <xf numFmtId="0" fontId="74" fillId="4" borderId="0" xfId="0" applyFont="1" applyFill="1" applyAlignment="1">
      <alignment vertical="center"/>
    </xf>
    <xf numFmtId="49" fontId="60" fillId="4" borderId="0" xfId="64" applyNumberFormat="1" applyFont="1" applyFill="1" applyBorder="1" applyAlignment="1" applyProtection="1">
      <alignment horizontal="left" vertical="center"/>
      <protection locked="0"/>
    </xf>
    <xf numFmtId="49" fontId="53" fillId="4" borderId="0" xfId="63" applyNumberFormat="1" applyFont="1" applyFill="1" applyBorder="1" applyAlignment="1" applyProtection="1">
      <alignment horizontal="left" vertical="center"/>
      <protection locked="0"/>
    </xf>
    <xf numFmtId="49" fontId="10" fillId="4" borderId="0" xfId="63" applyNumberFormat="1" applyFont="1" applyFill="1" applyBorder="1" applyAlignment="1" applyProtection="1">
      <alignment horizontal="left" vertical="center"/>
      <protection locked="0"/>
    </xf>
    <xf numFmtId="49" fontId="54" fillId="4" borderId="0" xfId="64" applyNumberFormat="1" applyFont="1" applyFill="1" applyBorder="1" applyAlignment="1" applyProtection="1">
      <alignment horizontal="left" vertical="center"/>
      <protection locked="0"/>
    </xf>
    <xf numFmtId="49" fontId="50" fillId="4" borderId="0" xfId="64" applyNumberFormat="1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>
      <alignment horizontal="left" vertical="center" wrapText="1"/>
    </xf>
    <xf numFmtId="0" fontId="0" fillId="3" borderId="3" xfId="55" applyNumberFormat="1" applyFill="1" applyBorder="1" applyAlignment="1" quotePrefix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㼿㼿㼿㼿?" xfId="19"/>
    <cellStyle name="㼿㼿㼿㼿㼿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Comma_SALARYBJ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??_x005f_x0011_?_x005f_x0010_?" xfId="53"/>
    <cellStyle name="3232" xfId="54"/>
    <cellStyle name="常规 11" xfId="55"/>
    <cellStyle name="常规 2" xfId="56"/>
    <cellStyle name="常规 2 10 10" xfId="57"/>
    <cellStyle name="常规_0705 UL South CS meeting (chonghua)" xfId="58"/>
    <cellStyle name="常规 3" xfId="59"/>
    <cellStyle name="常规_付款通知书智联（神数系统）" xfId="60"/>
    <cellStyle name="匿㼿㼿㼿㼿㼿" xfId="61"/>
    <cellStyle name="㼿" xfId="62"/>
    <cellStyle name="㼿㼿㼿㼿? 2" xfId="63"/>
    <cellStyle name="㼿㼿㼿㼿㼿㼿㼿" xfId="64"/>
  </cellStyles>
  <dxfs count="6">
    <dxf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1041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yangxia16\FileStorage\File\2020-06\&#26032;&#24037;&#36164;&#34920;&#27169;&#26495;(&#21019;&#32852;&#33268;&#2044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（居民）工资表-1月"/>
      <sheetName val="（居民）工资表-2月"/>
      <sheetName val="（居民）工资表-3月"/>
      <sheetName val="（居民）工资表-4月"/>
      <sheetName val="（居民）工资表-5月"/>
      <sheetName val="（居民）工资表-6月"/>
      <sheetName val="（居民）工资表-7月"/>
      <sheetName val="（居民）工资表-8月"/>
      <sheetName val="（居民）工资表-9月"/>
      <sheetName val="（居民）工资表-10月"/>
      <sheetName val="（居民）工资表-11月"/>
      <sheetName val="（居民）工资表-12月"/>
      <sheetName val="Sheet1"/>
    </sheetNames>
    <sheetDataSet>
      <sheetData sheetId="0"/>
      <sheetData sheetId="1"/>
      <sheetData sheetId="2"/>
      <sheetData sheetId="3"/>
      <sheetData sheetId="4">
        <row r="1">
          <cell r="M1" t="str">
            <v>此区域不能空白，没有金额请填0，负数金额不能填写</v>
          </cell>
        </row>
        <row r="2">
          <cell r="E2" t="str">
            <v>*身份证号码</v>
          </cell>
          <cell r="F2" t="str">
            <v>*性别</v>
          </cell>
          <cell r="G2" t="str">
            <v>*联系电话</v>
          </cell>
          <cell r="H2" t="str">
            <v>*是否残疾烈属孤老</v>
          </cell>
          <cell r="I2" t="str">
            <v>*是否股东、投资者</v>
          </cell>
          <cell r="J2" t="str">
            <v>入职日期</v>
          </cell>
          <cell r="K2" t="str">
            <v>离职日期</v>
          </cell>
          <cell r="L2" t="str">
            <v>*应发工资</v>
          </cell>
          <cell r="M2" t="str">
            <v>*本月专项扣除</v>
          </cell>
        </row>
        <row r="2">
          <cell r="Q2" t="str">
            <v>本月个人社保
代扣合计</v>
          </cell>
          <cell r="R2" t="str">
            <v>其他扣除</v>
          </cell>
          <cell r="S2" t="str">
            <v>累计收入额</v>
          </cell>
          <cell r="T2" t="str">
            <v>累计减除费用</v>
          </cell>
          <cell r="U2" t="str">
            <v>累计专项扣除</v>
          </cell>
          <cell r="V2" t="str">
            <v>*累计专项附加扣除</v>
          </cell>
        </row>
        <row r="2">
          <cell r="AB2" t="str">
            <v>累计专项附加扣除总额</v>
          </cell>
          <cell r="AC2" t="str">
            <v>累计其他扣除</v>
          </cell>
          <cell r="AD2" t="str">
            <v>累计预扣预缴
应纳税所得额</v>
          </cell>
          <cell r="AE2" t="str">
            <v>累计应预扣预缴税额</v>
          </cell>
          <cell r="AF2" t="str">
            <v>累计已扣缴税额</v>
          </cell>
          <cell r="AG2" t="str">
            <v>本次应扣税额</v>
          </cell>
        </row>
        <row r="3">
          <cell r="M3" t="str">
            <v>养老个人</v>
          </cell>
          <cell r="N3" t="str">
            <v>医疗个人</v>
          </cell>
          <cell r="O3" t="str">
            <v>失业个人</v>
          </cell>
          <cell r="P3" t="str">
            <v>公积金个人</v>
          </cell>
        </row>
        <row r="3">
          <cell r="V3" t="str">
            <v>子女教育</v>
          </cell>
          <cell r="W3" t="str">
            <v>赡养老人</v>
          </cell>
          <cell r="X3" t="str">
            <v>住房贷款利息</v>
          </cell>
          <cell r="Y3" t="str">
            <v>住房租金</v>
          </cell>
          <cell r="Z3" t="str">
            <v>继续教育</v>
          </cell>
          <cell r="AA3" t="str">
            <v>大病医疗</v>
          </cell>
        </row>
        <row r="4">
          <cell r="E4" t="str">
            <v>142732199004126819</v>
          </cell>
          <cell r="F4" t="str">
            <v>男</v>
          </cell>
          <cell r="G4" t="str">
            <v>18035163638</v>
          </cell>
        </row>
        <row r="4">
          <cell r="J4">
            <v>41275</v>
          </cell>
        </row>
        <row r="4">
          <cell r="L4">
            <v>7700</v>
          </cell>
          <cell r="M4">
            <v>264</v>
          </cell>
          <cell r="N4">
            <v>9.9</v>
          </cell>
          <cell r="O4">
            <v>66</v>
          </cell>
          <cell r="P4">
            <v>180</v>
          </cell>
          <cell r="Q4">
            <v>519.9</v>
          </cell>
          <cell r="R4">
            <v>0</v>
          </cell>
          <cell r="S4">
            <v>29320</v>
          </cell>
          <cell r="T4">
            <v>20000</v>
          </cell>
          <cell r="U4">
            <v>2301.84</v>
          </cell>
        </row>
        <row r="4">
          <cell r="AB4">
            <v>0</v>
          </cell>
          <cell r="AC4">
            <v>0</v>
          </cell>
          <cell r="AD4">
            <v>7018.16</v>
          </cell>
          <cell r="AE4">
            <v>210.54</v>
          </cell>
          <cell r="AF4">
            <v>145.14</v>
          </cell>
          <cell r="AG4">
            <v>65.4</v>
          </cell>
        </row>
        <row r="5">
          <cell r="E5" t="str">
            <v>440602197506030928</v>
          </cell>
          <cell r="F5" t="str">
            <v>女</v>
          </cell>
          <cell r="G5" t="str">
            <v>13926009696</v>
          </cell>
        </row>
        <row r="5">
          <cell r="J5">
            <v>41883</v>
          </cell>
        </row>
        <row r="5">
          <cell r="L5">
            <v>5440</v>
          </cell>
          <cell r="M5">
            <v>277.52</v>
          </cell>
          <cell r="N5">
            <v>6</v>
          </cell>
          <cell r="O5">
            <v>98.62</v>
          </cell>
          <cell r="P5">
            <v>360</v>
          </cell>
          <cell r="Q5">
            <v>742.14</v>
          </cell>
          <cell r="R5">
            <v>0</v>
          </cell>
          <cell r="S5">
            <v>24038.7272727273</v>
          </cell>
          <cell r="T5">
            <v>20000</v>
          </cell>
          <cell r="U5">
            <v>2747.42</v>
          </cell>
        </row>
        <row r="5">
          <cell r="AB5">
            <v>0</v>
          </cell>
          <cell r="AC5">
            <v>0</v>
          </cell>
          <cell r="AD5">
            <v>1291.31</v>
          </cell>
          <cell r="AE5">
            <v>38.74</v>
          </cell>
          <cell r="AF5">
            <v>52.37</v>
          </cell>
          <cell r="AG5">
            <v>0</v>
          </cell>
        </row>
        <row r="6">
          <cell r="E6" t="str">
            <v>650104198205245019</v>
          </cell>
          <cell r="F6" t="str">
            <v>男</v>
          </cell>
          <cell r="G6" t="str">
            <v>18999937344</v>
          </cell>
        </row>
        <row r="6">
          <cell r="J6">
            <v>43332</v>
          </cell>
        </row>
        <row r="6"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15892</v>
          </cell>
          <cell r="T6">
            <v>20000</v>
          </cell>
          <cell r="U6">
            <v>1042</v>
          </cell>
        </row>
        <row r="6">
          <cell r="AB6">
            <v>0</v>
          </cell>
          <cell r="AC6">
            <v>0</v>
          </cell>
          <cell r="AD6">
            <v>-5150</v>
          </cell>
          <cell r="AE6">
            <v>0</v>
          </cell>
          <cell r="AF6">
            <v>145.5</v>
          </cell>
          <cell r="AG6">
            <v>0</v>
          </cell>
        </row>
        <row r="7">
          <cell r="L7">
            <v>13140</v>
          </cell>
          <cell r="M7">
            <v>541.52</v>
          </cell>
          <cell r="N7">
            <v>15.9</v>
          </cell>
          <cell r="O7">
            <v>164.62</v>
          </cell>
          <cell r="P7">
            <v>540</v>
          </cell>
          <cell r="Q7">
            <v>1262.04</v>
          </cell>
          <cell r="R7">
            <v>0</v>
          </cell>
          <cell r="S7">
            <v>69250.7272727273</v>
          </cell>
          <cell r="T7">
            <v>60000</v>
          </cell>
          <cell r="U7">
            <v>6091.26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3159.47</v>
          </cell>
          <cell r="AE7">
            <v>249.28</v>
          </cell>
          <cell r="AF7">
            <v>343.01</v>
          </cell>
          <cell r="AG7">
            <v>65.4</v>
          </cell>
        </row>
        <row r="11">
          <cell r="E11" t="str">
            <v>总计</v>
          </cell>
        </row>
        <row r="12">
          <cell r="E12">
            <v>11877.96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K28" sqref="K28"/>
    </sheetView>
  </sheetViews>
  <sheetFormatPr defaultColWidth="9" defaultRowHeight="13.5"/>
  <cols>
    <col min="1" max="2" width="9" style="73"/>
    <col min="3" max="3" width="10.75" style="73" customWidth="1"/>
    <col min="4" max="4" width="16.75" style="73" customWidth="1"/>
    <col min="5" max="5" width="11.75" style="73" customWidth="1"/>
    <col min="6" max="6" width="9" style="73"/>
    <col min="7" max="7" width="10.75" style="73" customWidth="1"/>
    <col min="8" max="12" width="9" style="73"/>
    <col min="13" max="13" width="9.5" style="73" customWidth="1"/>
    <col min="14" max="14" width="16.5" style="73" customWidth="1"/>
    <col min="15" max="16384" width="9" style="73"/>
  </cols>
  <sheetData>
    <row r="1" ht="25.5" spans="1:14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ht="14.25" spans="1:14">
      <c r="A2" s="172"/>
      <c r="B2" s="173"/>
      <c r="C2" s="173"/>
      <c r="D2" s="174"/>
      <c r="E2" s="174"/>
      <c r="F2" s="174"/>
      <c r="G2" s="172"/>
      <c r="H2" s="172"/>
      <c r="I2" s="172"/>
      <c r="J2" s="174"/>
      <c r="K2" s="174"/>
      <c r="L2" s="174"/>
      <c r="M2" s="174"/>
      <c r="N2" s="174"/>
    </row>
    <row r="3" spans="1:14">
      <c r="A3" s="175"/>
      <c r="B3" s="176"/>
      <c r="C3" s="177"/>
      <c r="D3" s="178"/>
      <c r="E3" s="179"/>
      <c r="F3" s="179"/>
      <c r="G3" s="180"/>
      <c r="H3" s="181"/>
      <c r="I3" s="176"/>
      <c r="J3" s="177"/>
      <c r="K3" s="178"/>
      <c r="L3" s="247"/>
      <c r="M3" s="174"/>
      <c r="N3" s="174"/>
    </row>
    <row r="4" spans="1:14">
      <c r="A4" s="175"/>
      <c r="B4" s="182" t="s">
        <v>1</v>
      </c>
      <c r="C4" s="182"/>
      <c r="D4" s="182"/>
      <c r="E4" s="182"/>
      <c r="F4" s="183"/>
      <c r="G4" s="182"/>
      <c r="H4" s="181"/>
      <c r="K4" s="174"/>
      <c r="L4" s="248"/>
      <c r="M4" s="249"/>
      <c r="N4" s="174"/>
    </row>
    <row r="5" spans="1:14">
      <c r="A5" s="184"/>
      <c r="B5" s="185" t="s">
        <v>2</v>
      </c>
      <c r="C5" s="178"/>
      <c r="D5" s="178"/>
      <c r="E5" s="178"/>
      <c r="F5" s="178"/>
      <c r="G5" s="178"/>
      <c r="H5" s="186"/>
      <c r="I5" s="181"/>
      <c r="J5" s="176"/>
      <c r="K5" s="177"/>
      <c r="L5" s="247"/>
      <c r="M5" s="174"/>
      <c r="N5" s="174"/>
    </row>
    <row r="6" ht="9.75" customHeight="1" spans="1:14">
      <c r="A6" s="187"/>
      <c r="B6" s="187"/>
      <c r="C6" s="187"/>
      <c r="D6" s="187"/>
      <c r="E6" s="187"/>
      <c r="F6" s="187"/>
      <c r="G6" s="187"/>
      <c r="H6" s="187"/>
      <c r="I6" s="250"/>
      <c r="J6" s="250"/>
      <c r="K6" s="251"/>
      <c r="L6" s="251"/>
      <c r="M6" s="251"/>
      <c r="N6" s="251"/>
    </row>
    <row r="7" ht="15" spans="1:14">
      <c r="A7" s="187"/>
      <c r="B7" s="188" t="s">
        <v>3</v>
      </c>
      <c r="C7" s="189"/>
      <c r="D7" s="189"/>
      <c r="E7" s="189"/>
      <c r="F7" s="189"/>
      <c r="G7" s="189"/>
      <c r="H7" s="189"/>
      <c r="I7" s="252" t="s">
        <v>4</v>
      </c>
      <c r="J7" s="252"/>
      <c r="K7" s="253"/>
      <c r="L7" s="173"/>
      <c r="M7" s="173"/>
      <c r="N7" s="254"/>
    </row>
    <row r="8" ht="14.25" spans="1:14">
      <c r="A8" s="187"/>
      <c r="B8" s="190" t="s">
        <v>5</v>
      </c>
      <c r="C8" s="191"/>
      <c r="D8" s="191"/>
      <c r="E8" s="192">
        <f>D10</f>
        <v>21195.915</v>
      </c>
      <c r="F8" s="193"/>
      <c r="G8" s="193"/>
      <c r="H8" s="194"/>
      <c r="I8" s="255"/>
      <c r="J8" s="256" t="s">
        <v>6</v>
      </c>
      <c r="K8" s="256"/>
      <c r="L8" s="256"/>
      <c r="M8" s="256"/>
      <c r="N8" s="256"/>
    </row>
    <row r="9" ht="14.25" spans="1:14">
      <c r="A9" s="187"/>
      <c r="B9" s="195" t="s">
        <v>7</v>
      </c>
      <c r="C9" s="196"/>
      <c r="D9" s="196"/>
      <c r="E9" s="197">
        <f>G23</f>
        <v>21195.915</v>
      </c>
      <c r="F9" s="198"/>
      <c r="G9" s="198"/>
      <c r="H9" s="199"/>
      <c r="I9" s="256"/>
      <c r="J9" s="257" t="s">
        <v>8</v>
      </c>
      <c r="K9" s="257"/>
      <c r="L9" s="257"/>
      <c r="M9" s="257"/>
      <c r="N9" s="258"/>
    </row>
    <row r="10" ht="15" spans="1:14">
      <c r="A10" s="187"/>
      <c r="B10" s="200" t="s">
        <v>9</v>
      </c>
      <c r="C10" s="201"/>
      <c r="D10" s="202">
        <f>G23</f>
        <v>21195.915</v>
      </c>
      <c r="E10" s="203" t="s">
        <v>10</v>
      </c>
      <c r="F10" s="204"/>
      <c r="G10" s="205"/>
      <c r="H10" s="206">
        <v>0</v>
      </c>
      <c r="I10" s="259"/>
      <c r="J10" s="260" t="s">
        <v>11</v>
      </c>
      <c r="K10" s="260"/>
      <c r="L10" s="260"/>
      <c r="M10" s="260"/>
      <c r="N10" s="261"/>
    </row>
    <row r="11" ht="14.25" spans="1:14">
      <c r="A11" s="187"/>
      <c r="B11" s="207" t="s">
        <v>12</v>
      </c>
      <c r="C11" s="208"/>
      <c r="D11" s="209"/>
      <c r="E11" s="210" t="s">
        <v>13</v>
      </c>
      <c r="F11" s="211"/>
      <c r="G11" s="212"/>
      <c r="H11" s="213"/>
      <c r="I11" s="262"/>
      <c r="J11" s="263"/>
      <c r="K11" s="262"/>
      <c r="L11" s="262"/>
      <c r="M11" s="262"/>
      <c r="N11" s="264"/>
    </row>
    <row r="12" spans="1:14">
      <c r="A12" s="184"/>
      <c r="B12" s="207" t="s">
        <v>14</v>
      </c>
      <c r="C12" s="208"/>
      <c r="D12" s="209">
        <v>0</v>
      </c>
      <c r="E12" s="210" t="s">
        <v>15</v>
      </c>
      <c r="F12" s="211"/>
      <c r="G12" s="212"/>
      <c r="H12" s="213"/>
      <c r="I12" s="265"/>
      <c r="J12" s="266"/>
      <c r="K12" s="267"/>
      <c r="L12" s="267"/>
      <c r="M12" s="267"/>
      <c r="N12" s="267"/>
    </row>
    <row r="13" ht="14.25" spans="1:14">
      <c r="A13" s="174"/>
      <c r="B13" s="214" t="s">
        <v>16</v>
      </c>
      <c r="C13" s="215"/>
      <c r="D13" s="216">
        <v>0</v>
      </c>
      <c r="E13" s="217"/>
      <c r="F13" s="218"/>
      <c r="G13" s="219"/>
      <c r="H13" s="220"/>
      <c r="I13" s="187"/>
      <c r="J13" s="268"/>
      <c r="K13" s="269"/>
      <c r="L13" s="269"/>
      <c r="M13" s="269"/>
      <c r="N13" s="269"/>
    </row>
    <row r="14" ht="5.25" customHeight="1" spans="1:14">
      <c r="A14" s="221"/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</row>
    <row r="15" spans="1:14">
      <c r="A15" s="174" t="s">
        <v>17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</row>
    <row r="16" ht="3" customHeight="1" spans="1:14">
      <c r="A16" s="174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</row>
    <row r="17" ht="18.75" spans="2:13">
      <c r="B17" s="222" t="s">
        <v>18</v>
      </c>
      <c r="C17" s="223" t="s">
        <v>19</v>
      </c>
      <c r="D17" s="223" t="s">
        <v>20</v>
      </c>
      <c r="E17" s="223"/>
      <c r="F17" s="224" t="s">
        <v>21</v>
      </c>
      <c r="G17" s="225" t="s">
        <v>22</v>
      </c>
      <c r="H17" s="226" t="s">
        <v>23</v>
      </c>
      <c r="J17" s="270" t="s">
        <v>24</v>
      </c>
      <c r="K17" s="270"/>
      <c r="L17" s="270"/>
      <c r="M17" s="270"/>
    </row>
    <row r="18" ht="16.5" spans="2:13">
      <c r="B18" s="227">
        <v>1</v>
      </c>
      <c r="C18" s="228" t="s">
        <v>25</v>
      </c>
      <c r="D18" s="229" t="s">
        <v>26</v>
      </c>
      <c r="E18" s="229"/>
      <c r="F18" s="230" t="s">
        <v>27</v>
      </c>
      <c r="G18" s="231">
        <f>工资!AL6</f>
        <v>13807.96</v>
      </c>
      <c r="H18" s="232"/>
      <c r="J18" s="270"/>
      <c r="K18" s="270"/>
      <c r="L18" s="270"/>
      <c r="M18" s="270"/>
    </row>
    <row r="19" ht="16.5" spans="2:13">
      <c r="B19" s="227">
        <v>2</v>
      </c>
      <c r="C19" s="228"/>
      <c r="D19" s="233" t="s">
        <v>28</v>
      </c>
      <c r="E19" s="234" t="s">
        <v>29</v>
      </c>
      <c r="F19" s="230">
        <f>F22</f>
        <v>9</v>
      </c>
      <c r="G19" s="231">
        <f>客户账单!AX19</f>
        <v>3691.955</v>
      </c>
      <c r="H19" s="235"/>
      <c r="J19" s="270"/>
      <c r="K19" s="270"/>
      <c r="L19" s="270"/>
      <c r="M19" s="270"/>
    </row>
    <row r="20" ht="16.5" spans="2:13">
      <c r="B20" s="227">
        <v>3</v>
      </c>
      <c r="C20" s="228"/>
      <c r="D20" s="233" t="s">
        <v>30</v>
      </c>
      <c r="E20" s="234" t="s">
        <v>29</v>
      </c>
      <c r="F20" s="230">
        <f>F22</f>
        <v>9</v>
      </c>
      <c r="G20" s="231">
        <f>客户账单!AZ19</f>
        <v>2976</v>
      </c>
      <c r="H20" s="235"/>
      <c r="J20" s="270"/>
      <c r="K20" s="270"/>
      <c r="L20" s="270"/>
      <c r="M20" s="270"/>
    </row>
    <row r="21" ht="16.5" spans="2:13">
      <c r="B21" s="227">
        <v>6</v>
      </c>
      <c r="C21" s="228"/>
      <c r="D21" s="236" t="s">
        <v>31</v>
      </c>
      <c r="E21" s="236"/>
      <c r="F21" s="230">
        <f>F22</f>
        <v>9</v>
      </c>
      <c r="G21" s="237">
        <f>SUM(G19:G20)</f>
        <v>6667.955</v>
      </c>
      <c r="H21" s="238"/>
      <c r="J21" s="270"/>
      <c r="K21" s="270"/>
      <c r="L21" s="270"/>
      <c r="M21" s="270"/>
    </row>
    <row r="22" ht="16.5" spans="2:13">
      <c r="B22" s="227">
        <v>7</v>
      </c>
      <c r="C22" s="228" t="s">
        <v>32</v>
      </c>
      <c r="D22" s="236" t="s">
        <v>33</v>
      </c>
      <c r="E22" s="236"/>
      <c r="F22" s="230">
        <f>G22/80</f>
        <v>9</v>
      </c>
      <c r="G22" s="237">
        <f>客户账单!BB19</f>
        <v>720</v>
      </c>
      <c r="H22" s="232"/>
      <c r="J22" s="270"/>
      <c r="K22" s="270"/>
      <c r="L22" s="270"/>
      <c r="M22" s="270"/>
    </row>
    <row r="23" ht="16.5" spans="2:8">
      <c r="B23" s="239" t="s">
        <v>34</v>
      </c>
      <c r="C23" s="240"/>
      <c r="D23" s="240"/>
      <c r="E23" s="240"/>
      <c r="F23" s="240"/>
      <c r="G23" s="241">
        <f>G18+G21+G22</f>
        <v>21195.915</v>
      </c>
      <c r="H23" s="242"/>
    </row>
    <row r="24" ht="17.25" spans="2:8">
      <c r="B24" s="243" t="s">
        <v>35</v>
      </c>
      <c r="C24" s="244"/>
      <c r="D24" s="244"/>
      <c r="E24" s="244"/>
      <c r="F24" s="244"/>
      <c r="G24" s="245">
        <f>G23</f>
        <v>21195.915</v>
      </c>
      <c r="H24" s="246"/>
    </row>
    <row r="25" ht="14.25"/>
  </sheetData>
  <mergeCells count="30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B23:F23"/>
    <mergeCell ref="B24:F24"/>
    <mergeCell ref="C18:C21"/>
    <mergeCell ref="J17:M22"/>
  </mergeCells>
  <conditionalFormatting sqref="G20:H20 C21:H21 F19:F22">
    <cfRule type="cellIs" dxfId="0" priority="1" stopIfTrue="1" operator="equal">
      <formula>"信用卡"</formula>
    </cfRule>
    <cfRule type="cellIs" dxfId="1" priority="2" stopIfTrue="1" operator="equal">
      <formula>"現金"</formula>
    </cfRule>
  </conditionalFormatting>
  <pageMargins left="0.697916666666667" right="0.697916666666667" top="0.75" bottom="0.75" header="0.3" footer="0.3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9"/>
  <sheetViews>
    <sheetView topLeftCell="AR1" workbookViewId="0">
      <selection activeCell="AU19" sqref="AU19:AV19"/>
    </sheetView>
  </sheetViews>
  <sheetFormatPr defaultColWidth="9" defaultRowHeight="16.5"/>
  <cols>
    <col min="1" max="1" width="5" customWidth="1"/>
    <col min="2" max="2" width="25" customWidth="1"/>
    <col min="3" max="3" width="7.375" customWidth="1"/>
    <col min="4" max="4" width="9.5" customWidth="1"/>
    <col min="5" max="5" width="8.25" customWidth="1"/>
    <col min="6" max="6" width="11.875" customWidth="1"/>
    <col min="7" max="7" width="27.375" customWidth="1"/>
    <col min="8" max="8" width="14" customWidth="1"/>
    <col min="9" max="9" width="14.375" customWidth="1"/>
    <col min="10" max="10" width="13.125" customWidth="1"/>
    <col min="11" max="11" width="15.125" customWidth="1"/>
    <col min="12" max="12" width="9.125" customWidth="1"/>
    <col min="13" max="14" width="9.25" customWidth="1"/>
    <col min="15" max="15" width="7.5" customWidth="1"/>
    <col min="16" max="16" width="11.25" customWidth="1"/>
    <col min="17" max="17" width="9.125" customWidth="1"/>
    <col min="18" max="21" width="9.25" customWidth="1"/>
    <col min="22" max="22" width="9.125" customWidth="1"/>
    <col min="23" max="26" width="9.25" customWidth="1"/>
    <col min="27" max="28" width="9.125" customWidth="1"/>
    <col min="29" max="29" width="9" customWidth="1"/>
    <col min="30" max="30" width="9.125" customWidth="1"/>
    <col min="31" max="31" width="9.25" customWidth="1"/>
    <col min="32" max="32" width="8.875" customWidth="1"/>
    <col min="33" max="33" width="9.125" customWidth="1"/>
    <col min="34" max="34" width="9.25" customWidth="1"/>
    <col min="35" max="35" width="11.125" customWidth="1"/>
    <col min="36" max="36" width="9.25" customWidth="1"/>
    <col min="37" max="37" width="8.5" customWidth="1"/>
    <col min="38" max="38" width="9.125" customWidth="1"/>
    <col min="39" max="42" width="9.25" customWidth="1"/>
    <col min="43" max="43" width="9.875" customWidth="1"/>
    <col min="44" max="44" width="9.375" customWidth="1"/>
    <col min="45" max="45" width="10.25" style="81" customWidth="1"/>
    <col min="46" max="46" width="10" style="81" customWidth="1"/>
    <col min="47" max="49" width="9.25" style="81" customWidth="1"/>
    <col min="50" max="50" width="9.25" customWidth="1"/>
    <col min="51" max="51" width="5.875" customWidth="1"/>
    <col min="52" max="52" width="8.375" customWidth="1"/>
    <col min="53" max="53" width="5.875" customWidth="1"/>
    <col min="54" max="54" width="8.875" customWidth="1"/>
    <col min="55" max="55" width="10.875" customWidth="1"/>
    <col min="56" max="56" width="40.25" style="82" customWidth="1"/>
    <col min="57" max="57" width="10.625" customWidth="1"/>
  </cols>
  <sheetData>
    <row r="1" s="73" customFormat="1" ht="41.25" customHeight="1" spans="1:56">
      <c r="A1" s="83" t="s">
        <v>36</v>
      </c>
      <c r="B1" s="84"/>
      <c r="C1" s="84"/>
      <c r="D1" s="84"/>
      <c r="E1" s="84"/>
      <c r="F1" s="84"/>
      <c r="G1" s="84"/>
      <c r="H1" s="84"/>
      <c r="I1" s="84"/>
      <c r="AS1" s="131"/>
      <c r="AT1" s="131"/>
      <c r="AU1" s="131"/>
      <c r="AV1" s="131"/>
      <c r="AW1" s="131"/>
      <c r="BD1" s="143"/>
    </row>
    <row r="2" s="74" customFormat="1" ht="19.5" customHeight="1" spans="1:56">
      <c r="A2" s="85" t="s">
        <v>37</v>
      </c>
      <c r="B2" s="85"/>
      <c r="C2" s="85"/>
      <c r="D2" s="85"/>
      <c r="E2" s="85"/>
      <c r="F2" s="85"/>
      <c r="G2" s="85"/>
      <c r="H2" s="85"/>
      <c r="I2" s="85"/>
      <c r="AS2" s="132"/>
      <c r="AT2" s="132"/>
      <c r="AU2" s="132"/>
      <c r="AV2" s="132"/>
      <c r="AW2" s="132"/>
      <c r="BD2" s="144"/>
    </row>
    <row r="3" s="73" customFormat="1" ht="17.25" customHeight="1" spans="1:56">
      <c r="A3" s="83"/>
      <c r="B3" s="84"/>
      <c r="C3" s="84"/>
      <c r="D3" s="84"/>
      <c r="E3" s="84"/>
      <c r="F3" s="84"/>
      <c r="G3" s="84"/>
      <c r="H3" s="84"/>
      <c r="I3" s="84"/>
      <c r="AS3" s="131"/>
      <c r="AT3" s="131"/>
      <c r="AU3" s="131"/>
      <c r="AV3" s="131"/>
      <c r="AW3" s="131"/>
      <c r="BD3" s="143"/>
    </row>
    <row r="4" s="75" customFormat="1" ht="22.5" customHeight="1" spans="1:56">
      <c r="A4" s="86" t="s">
        <v>18</v>
      </c>
      <c r="B4" s="87" t="s">
        <v>38</v>
      </c>
      <c r="C4" s="87" t="s">
        <v>39</v>
      </c>
      <c r="D4" s="86" t="s">
        <v>40</v>
      </c>
      <c r="E4" s="87" t="s">
        <v>41</v>
      </c>
      <c r="F4" s="87" t="s">
        <v>42</v>
      </c>
      <c r="G4" s="87" t="s">
        <v>43</v>
      </c>
      <c r="H4" s="87" t="s">
        <v>44</v>
      </c>
      <c r="I4" s="87" t="s">
        <v>45</v>
      </c>
      <c r="J4" s="87" t="s">
        <v>46</v>
      </c>
      <c r="K4" s="87" t="s">
        <v>47</v>
      </c>
      <c r="L4" s="121" t="s">
        <v>48</v>
      </c>
      <c r="M4" s="121"/>
      <c r="N4" s="121"/>
      <c r="O4" s="121"/>
      <c r="P4" s="121"/>
      <c r="Q4" s="121" t="s">
        <v>49</v>
      </c>
      <c r="R4" s="121"/>
      <c r="S4" s="121"/>
      <c r="T4" s="121"/>
      <c r="U4" s="121"/>
      <c r="V4" s="121" t="s">
        <v>50</v>
      </c>
      <c r="W4" s="121"/>
      <c r="X4" s="121"/>
      <c r="Y4" s="121"/>
      <c r="Z4" s="121"/>
      <c r="AA4" s="86" t="s">
        <v>51</v>
      </c>
      <c r="AB4" s="86"/>
      <c r="AC4" s="86"/>
      <c r="AD4" s="86" t="s">
        <v>52</v>
      </c>
      <c r="AE4" s="86"/>
      <c r="AF4" s="86"/>
      <c r="AG4" s="121" t="s">
        <v>53</v>
      </c>
      <c r="AH4" s="121"/>
      <c r="AI4" s="121"/>
      <c r="AJ4" s="121"/>
      <c r="AK4" s="121"/>
      <c r="AL4" s="86" t="s">
        <v>54</v>
      </c>
      <c r="AM4" s="86"/>
      <c r="AN4" s="86"/>
      <c r="AO4" s="86"/>
      <c r="AP4" s="86"/>
      <c r="AQ4" s="86" t="s">
        <v>55</v>
      </c>
      <c r="AR4" s="86"/>
      <c r="AS4" s="133" t="s">
        <v>56</v>
      </c>
      <c r="AT4" s="133" t="s">
        <v>57</v>
      </c>
      <c r="AU4" s="133" t="s">
        <v>57</v>
      </c>
      <c r="AV4" s="133" t="s">
        <v>57</v>
      </c>
      <c r="AW4" s="133" t="s">
        <v>57</v>
      </c>
      <c r="AX4" s="86" t="s">
        <v>58</v>
      </c>
      <c r="AY4" s="86"/>
      <c r="AZ4" s="86" t="s">
        <v>59</v>
      </c>
      <c r="BA4" s="86"/>
      <c r="BB4" s="86" t="s">
        <v>60</v>
      </c>
      <c r="BC4" s="86" t="s">
        <v>61</v>
      </c>
      <c r="BD4" s="145" t="s">
        <v>23</v>
      </c>
    </row>
    <row r="5" ht="22.5" customHeight="1" spans="1:56">
      <c r="A5" s="86" t="s">
        <v>18</v>
      </c>
      <c r="B5" s="88"/>
      <c r="C5" s="87"/>
      <c r="D5" s="86"/>
      <c r="E5" s="87"/>
      <c r="F5" s="89" t="s">
        <v>42</v>
      </c>
      <c r="G5" s="89" t="s">
        <v>43</v>
      </c>
      <c r="H5" s="87"/>
      <c r="I5" s="87"/>
      <c r="J5" s="87"/>
      <c r="K5" s="87"/>
      <c r="L5" s="122" t="s">
        <v>62</v>
      </c>
      <c r="M5" s="122" t="s">
        <v>63</v>
      </c>
      <c r="N5" s="122" t="s">
        <v>64</v>
      </c>
      <c r="O5" s="122" t="s">
        <v>65</v>
      </c>
      <c r="P5" s="122" t="s">
        <v>66</v>
      </c>
      <c r="Q5" s="122" t="s">
        <v>62</v>
      </c>
      <c r="R5" s="122" t="s">
        <v>63</v>
      </c>
      <c r="S5" s="122" t="s">
        <v>64</v>
      </c>
      <c r="T5" s="122" t="s">
        <v>65</v>
      </c>
      <c r="U5" s="122" t="s">
        <v>66</v>
      </c>
      <c r="V5" s="122" t="s">
        <v>62</v>
      </c>
      <c r="W5" s="122" t="s">
        <v>63</v>
      </c>
      <c r="X5" s="122" t="s">
        <v>64</v>
      </c>
      <c r="Y5" s="122" t="s">
        <v>65</v>
      </c>
      <c r="Z5" s="122" t="s">
        <v>66</v>
      </c>
      <c r="AA5" s="122" t="s">
        <v>62</v>
      </c>
      <c r="AB5" s="122" t="s">
        <v>67</v>
      </c>
      <c r="AC5" s="122" t="s">
        <v>22</v>
      </c>
      <c r="AD5" s="122" t="s">
        <v>62</v>
      </c>
      <c r="AE5" s="122" t="s">
        <v>67</v>
      </c>
      <c r="AF5" s="122" t="s">
        <v>22</v>
      </c>
      <c r="AG5" s="122" t="s">
        <v>62</v>
      </c>
      <c r="AH5" s="122" t="s">
        <v>63</v>
      </c>
      <c r="AI5" s="122" t="s">
        <v>64</v>
      </c>
      <c r="AJ5" s="122" t="s">
        <v>65</v>
      </c>
      <c r="AK5" s="122" t="s">
        <v>66</v>
      </c>
      <c r="AL5" s="122" t="s">
        <v>62</v>
      </c>
      <c r="AM5" s="122" t="s">
        <v>63</v>
      </c>
      <c r="AN5" s="122" t="s">
        <v>64</v>
      </c>
      <c r="AO5" s="122" t="s">
        <v>65</v>
      </c>
      <c r="AP5" s="122" t="s">
        <v>66</v>
      </c>
      <c r="AQ5" s="122" t="s">
        <v>68</v>
      </c>
      <c r="AR5" s="122" t="s">
        <v>69</v>
      </c>
      <c r="AS5" s="134" t="s">
        <v>70</v>
      </c>
      <c r="AT5" s="134" t="s">
        <v>71</v>
      </c>
      <c r="AU5" s="134" t="s">
        <v>72</v>
      </c>
      <c r="AV5" s="134" t="s">
        <v>73</v>
      </c>
      <c r="AW5" s="134" t="s">
        <v>31</v>
      </c>
      <c r="AX5" s="86"/>
      <c r="AY5" s="86"/>
      <c r="AZ5" s="86"/>
      <c r="BA5" s="86"/>
      <c r="BB5" s="86"/>
      <c r="BC5" s="86" t="s">
        <v>74</v>
      </c>
      <c r="BD5" s="145"/>
    </row>
    <row r="6" s="76" customFormat="1" ht="18" customHeight="1" spans="1:60">
      <c r="A6" s="90">
        <v>1</v>
      </c>
      <c r="B6" s="91" t="s">
        <v>75</v>
      </c>
      <c r="C6" s="92" t="s">
        <v>76</v>
      </c>
      <c r="D6" s="92" t="s">
        <v>77</v>
      </c>
      <c r="E6" s="91" t="s">
        <v>78</v>
      </c>
      <c r="F6" s="90" t="s">
        <v>79</v>
      </c>
      <c r="G6" s="90" t="s">
        <v>80</v>
      </c>
      <c r="H6" s="92" t="s">
        <v>81</v>
      </c>
      <c r="I6" s="92" t="s">
        <v>81</v>
      </c>
      <c r="J6" s="95" t="s">
        <v>82</v>
      </c>
      <c r="K6" s="95" t="s">
        <v>82</v>
      </c>
      <c r="L6" s="90">
        <v>3300</v>
      </c>
      <c r="M6" s="90">
        <v>0.19</v>
      </c>
      <c r="N6" s="90">
        <f t="shared" ref="N6:N8" si="0">ROUND(L6*M6,2)</f>
        <v>627</v>
      </c>
      <c r="O6" s="90">
        <v>0.08</v>
      </c>
      <c r="P6" s="90">
        <f t="shared" ref="P6:P11" si="1">ROUND(L6*O6,2)</f>
        <v>264</v>
      </c>
      <c r="Q6" s="90">
        <v>3300</v>
      </c>
      <c r="R6" s="90">
        <v>0.035</v>
      </c>
      <c r="S6" s="90">
        <f>ROUND(Q6*R6,2)/2</f>
        <v>57.75</v>
      </c>
      <c r="T6" s="90">
        <v>0.02</v>
      </c>
      <c r="U6" s="90">
        <f t="shared" ref="U6:U11" si="2">ROUND(Q6*T6,2)</f>
        <v>66</v>
      </c>
      <c r="V6" s="90">
        <v>3300</v>
      </c>
      <c r="W6" s="90">
        <v>0.007</v>
      </c>
      <c r="X6" s="90">
        <f t="shared" ref="X6:X8" si="3">ROUND(V6*W6,2)</f>
        <v>23.1</v>
      </c>
      <c r="Y6" s="90">
        <v>0.003</v>
      </c>
      <c r="Z6" s="90">
        <f t="shared" ref="Z6:Z11" si="4">ROUND(V6*Y6,2)</f>
        <v>9.9</v>
      </c>
      <c r="AA6" s="90">
        <v>3300</v>
      </c>
      <c r="AB6" s="90">
        <v>0.005</v>
      </c>
      <c r="AC6" s="90">
        <f t="shared" ref="AC6:AC11" si="5">ROUND(AA6*AB6,2)</f>
        <v>16.5</v>
      </c>
      <c r="AD6" s="90">
        <v>3300</v>
      </c>
      <c r="AE6" s="90">
        <v>0.004</v>
      </c>
      <c r="AF6" s="90">
        <f t="shared" ref="AF6:AF8" si="6">ROUND(AD6*AE6,2)</f>
        <v>13.2</v>
      </c>
      <c r="AG6" s="90">
        <v>3000</v>
      </c>
      <c r="AH6" s="90">
        <v>0.1</v>
      </c>
      <c r="AI6" s="90">
        <f t="shared" ref="AI6:AI8" si="7">ROUND(AG6*AH6,2)</f>
        <v>300</v>
      </c>
      <c r="AJ6" s="90">
        <v>0.06</v>
      </c>
      <c r="AK6" s="90">
        <f t="shared" ref="AK6:AK8" si="8">ROUND(AG6*AJ6,2)</f>
        <v>180</v>
      </c>
      <c r="AL6" s="90"/>
      <c r="AM6" s="90"/>
      <c r="AN6" s="90"/>
      <c r="AO6" s="90"/>
      <c r="AP6" s="90"/>
      <c r="AQ6" s="135">
        <f>5+35.4</f>
        <v>40.4</v>
      </c>
      <c r="AR6" s="90"/>
      <c r="AS6" s="96">
        <f t="shared" ref="AS6:AS11" si="9">N6+S6+X6+AC6+AF6+AN6+AQ6</f>
        <v>777.95</v>
      </c>
      <c r="AT6" s="96">
        <f t="shared" ref="AT6:AT11" si="10">P6+U6+Z6</f>
        <v>339.9</v>
      </c>
      <c r="AU6" s="96">
        <f t="shared" ref="AU6:AU11" si="11">AI6</f>
        <v>300</v>
      </c>
      <c r="AV6" s="96">
        <f t="shared" ref="AV6:AV11" si="12">AK6</f>
        <v>180</v>
      </c>
      <c r="AW6" s="96">
        <f t="shared" ref="AW6:AW11" si="13">AV6+AS6+AT6+AU6</f>
        <v>1597.85</v>
      </c>
      <c r="AX6" s="146">
        <f t="shared" ref="AX6:AX11" si="14">AS6+AT6</f>
        <v>1117.85</v>
      </c>
      <c r="AY6" s="146"/>
      <c r="AZ6" s="146">
        <f t="shared" ref="AZ6:AZ11" si="15">AU6+AV6</f>
        <v>480</v>
      </c>
      <c r="BA6" s="146"/>
      <c r="BB6" s="147">
        <v>80</v>
      </c>
      <c r="BC6" s="146">
        <f t="shared" ref="BC6:BC11" si="16">AX6+AZ6+BB6</f>
        <v>1677.85</v>
      </c>
      <c r="BD6" s="148" t="s">
        <v>83</v>
      </c>
      <c r="BE6" s="166"/>
      <c r="BF6" s="167"/>
      <c r="BG6" s="167"/>
      <c r="BH6" s="167"/>
    </row>
    <row r="7" s="77" customFormat="1" ht="18" customHeight="1" spans="1:60">
      <c r="A7" s="93">
        <v>2</v>
      </c>
      <c r="B7" s="94" t="s">
        <v>75</v>
      </c>
      <c r="C7" s="95" t="s">
        <v>76</v>
      </c>
      <c r="D7" s="95" t="s">
        <v>77</v>
      </c>
      <c r="E7" s="91" t="s">
        <v>78</v>
      </c>
      <c r="F7" s="93" t="s">
        <v>79</v>
      </c>
      <c r="G7" s="93" t="s">
        <v>80</v>
      </c>
      <c r="H7" s="95" t="s">
        <v>81</v>
      </c>
      <c r="I7" s="95" t="s">
        <v>81</v>
      </c>
      <c r="J7" s="95" t="s">
        <v>84</v>
      </c>
      <c r="K7" s="95" t="s">
        <v>84</v>
      </c>
      <c r="L7" s="93">
        <v>3300</v>
      </c>
      <c r="M7" s="93">
        <v>0.19</v>
      </c>
      <c r="N7" s="93">
        <f t="shared" si="0"/>
        <v>627</v>
      </c>
      <c r="O7" s="93">
        <v>0.08</v>
      </c>
      <c r="P7" s="93">
        <f t="shared" si="1"/>
        <v>264</v>
      </c>
      <c r="Q7" s="93">
        <v>3300</v>
      </c>
      <c r="R7" s="93">
        <v>0.07</v>
      </c>
      <c r="S7" s="90">
        <f t="shared" ref="S7:S8" si="17">ROUND(Q7*R7,2)/2</f>
        <v>115.5</v>
      </c>
      <c r="T7" s="93">
        <v>0.02</v>
      </c>
      <c r="U7" s="93">
        <f t="shared" si="2"/>
        <v>66</v>
      </c>
      <c r="V7" s="93">
        <v>3300</v>
      </c>
      <c r="W7" s="93">
        <v>0.007</v>
      </c>
      <c r="X7" s="93">
        <f t="shared" si="3"/>
        <v>23.1</v>
      </c>
      <c r="Y7" s="93">
        <v>0.003</v>
      </c>
      <c r="Z7" s="93">
        <f t="shared" si="4"/>
        <v>9.9</v>
      </c>
      <c r="AA7" s="93">
        <v>3300</v>
      </c>
      <c r="AB7" s="93">
        <v>0.005</v>
      </c>
      <c r="AC7" s="93">
        <f t="shared" si="5"/>
        <v>16.5</v>
      </c>
      <c r="AD7" s="93">
        <v>3300</v>
      </c>
      <c r="AE7" s="93">
        <v>0.004</v>
      </c>
      <c r="AF7" s="93">
        <f t="shared" si="6"/>
        <v>13.2</v>
      </c>
      <c r="AG7" s="93">
        <v>3000</v>
      </c>
      <c r="AH7" s="93">
        <v>0.1</v>
      </c>
      <c r="AI7" s="93">
        <f t="shared" si="7"/>
        <v>300</v>
      </c>
      <c r="AJ7" s="93">
        <v>0.06</v>
      </c>
      <c r="AK7" s="93">
        <f t="shared" si="8"/>
        <v>180</v>
      </c>
      <c r="AL7" s="93"/>
      <c r="AM7" s="93"/>
      <c r="AN7" s="93"/>
      <c r="AO7" s="93"/>
      <c r="AP7" s="93"/>
      <c r="AQ7" s="136">
        <f>5+35.4</f>
        <v>40.4</v>
      </c>
      <c r="AR7" s="93"/>
      <c r="AS7" s="137">
        <f t="shared" si="9"/>
        <v>835.7</v>
      </c>
      <c r="AT7" s="137">
        <f t="shared" si="10"/>
        <v>339.9</v>
      </c>
      <c r="AU7" s="137">
        <f t="shared" si="11"/>
        <v>300</v>
      </c>
      <c r="AV7" s="137">
        <f t="shared" si="12"/>
        <v>180</v>
      </c>
      <c r="AW7" s="137">
        <f t="shared" si="13"/>
        <v>1655.6</v>
      </c>
      <c r="AX7" s="149">
        <f t="shared" si="14"/>
        <v>1175.6</v>
      </c>
      <c r="AY7" s="149"/>
      <c r="AZ7" s="149">
        <f t="shared" si="15"/>
        <v>480</v>
      </c>
      <c r="BA7" s="149"/>
      <c r="BB7" s="150">
        <v>80</v>
      </c>
      <c r="BC7" s="149">
        <f t="shared" si="16"/>
        <v>1735.6</v>
      </c>
      <c r="BD7" s="151"/>
      <c r="BE7" s="168"/>
      <c r="BF7" s="168"/>
      <c r="BG7" s="168"/>
      <c r="BH7" s="168"/>
    </row>
    <row r="8" s="77" customFormat="1" ht="18" customHeight="1" spans="1:60">
      <c r="A8" s="93">
        <v>3</v>
      </c>
      <c r="B8" s="94" t="s">
        <v>75</v>
      </c>
      <c r="C8" s="95" t="s">
        <v>76</v>
      </c>
      <c r="D8" s="95" t="s">
        <v>77</v>
      </c>
      <c r="E8" s="91" t="s">
        <v>78</v>
      </c>
      <c r="F8" s="93" t="s">
        <v>79</v>
      </c>
      <c r="G8" s="93" t="s">
        <v>80</v>
      </c>
      <c r="H8" s="95" t="s">
        <v>81</v>
      </c>
      <c r="I8" s="95" t="s">
        <v>81</v>
      </c>
      <c r="J8" s="95" t="s">
        <v>85</v>
      </c>
      <c r="K8" s="95" t="s">
        <v>85</v>
      </c>
      <c r="L8" s="93">
        <v>3300</v>
      </c>
      <c r="M8" s="93">
        <v>0.19</v>
      </c>
      <c r="N8" s="93">
        <f t="shared" si="0"/>
        <v>627</v>
      </c>
      <c r="O8" s="93">
        <v>0.08</v>
      </c>
      <c r="P8" s="93">
        <f t="shared" si="1"/>
        <v>264</v>
      </c>
      <c r="Q8" s="93">
        <v>3300</v>
      </c>
      <c r="R8" s="93">
        <v>0.07</v>
      </c>
      <c r="S8" s="90">
        <f t="shared" si="17"/>
        <v>115.5</v>
      </c>
      <c r="T8" s="93">
        <v>0.02</v>
      </c>
      <c r="U8" s="93">
        <f t="shared" si="2"/>
        <v>66</v>
      </c>
      <c r="V8" s="93">
        <v>3300</v>
      </c>
      <c r="W8" s="93">
        <v>0.007</v>
      </c>
      <c r="X8" s="93">
        <f t="shared" si="3"/>
        <v>23.1</v>
      </c>
      <c r="Y8" s="93">
        <v>0.003</v>
      </c>
      <c r="Z8" s="93">
        <f t="shared" si="4"/>
        <v>9.9</v>
      </c>
      <c r="AA8" s="93">
        <v>3300</v>
      </c>
      <c r="AB8" s="93">
        <v>0.005</v>
      </c>
      <c r="AC8" s="93">
        <f t="shared" si="5"/>
        <v>16.5</v>
      </c>
      <c r="AD8" s="93">
        <v>3300</v>
      </c>
      <c r="AE8" s="93">
        <v>0.004</v>
      </c>
      <c r="AF8" s="93">
        <f t="shared" si="6"/>
        <v>13.2</v>
      </c>
      <c r="AG8" s="93">
        <v>3000</v>
      </c>
      <c r="AH8" s="93">
        <v>0.1</v>
      </c>
      <c r="AI8" s="93">
        <f t="shared" si="7"/>
        <v>300</v>
      </c>
      <c r="AJ8" s="93">
        <v>0.06</v>
      </c>
      <c r="AK8" s="93">
        <f t="shared" si="8"/>
        <v>180</v>
      </c>
      <c r="AL8" s="93"/>
      <c r="AM8" s="93"/>
      <c r="AN8" s="93"/>
      <c r="AO8" s="93"/>
      <c r="AP8" s="93"/>
      <c r="AQ8" s="136">
        <f>5+35.4</f>
        <v>40.4</v>
      </c>
      <c r="AR8" s="93"/>
      <c r="AS8" s="137">
        <f t="shared" si="9"/>
        <v>835.7</v>
      </c>
      <c r="AT8" s="137">
        <f t="shared" si="10"/>
        <v>339.9</v>
      </c>
      <c r="AU8" s="137">
        <f t="shared" si="11"/>
        <v>300</v>
      </c>
      <c r="AV8" s="137">
        <f t="shared" si="12"/>
        <v>180</v>
      </c>
      <c r="AW8" s="137">
        <f t="shared" si="13"/>
        <v>1655.6</v>
      </c>
      <c r="AX8" s="149">
        <f t="shared" si="14"/>
        <v>1175.6</v>
      </c>
      <c r="AY8" s="149"/>
      <c r="AZ8" s="149">
        <f t="shared" si="15"/>
        <v>480</v>
      </c>
      <c r="BA8" s="149"/>
      <c r="BB8" s="150">
        <v>80</v>
      </c>
      <c r="BC8" s="149">
        <f t="shared" si="16"/>
        <v>1735.6</v>
      </c>
      <c r="BD8" s="151"/>
      <c r="BE8" s="168"/>
      <c r="BF8" s="168"/>
      <c r="BG8" s="168"/>
      <c r="BH8" s="168"/>
    </row>
    <row r="9" s="77" customFormat="1" ht="18" customHeight="1" spans="1:60">
      <c r="A9" s="90">
        <v>4</v>
      </c>
      <c r="B9" s="91" t="s">
        <v>75</v>
      </c>
      <c r="C9" s="92" t="s">
        <v>86</v>
      </c>
      <c r="D9" s="92" t="s">
        <v>77</v>
      </c>
      <c r="E9" s="91" t="s">
        <v>87</v>
      </c>
      <c r="F9" s="90" t="s">
        <v>88</v>
      </c>
      <c r="G9" s="90" t="s">
        <v>89</v>
      </c>
      <c r="H9" s="96">
        <v>20151001</v>
      </c>
      <c r="I9" s="96">
        <v>20151001</v>
      </c>
      <c r="J9" s="95" t="s">
        <v>82</v>
      </c>
      <c r="K9" s="95" t="s">
        <v>82</v>
      </c>
      <c r="L9" s="90">
        <v>3469</v>
      </c>
      <c r="M9" s="90">
        <v>0.14</v>
      </c>
      <c r="N9" s="90">
        <v>0</v>
      </c>
      <c r="O9" s="90">
        <v>0.08</v>
      </c>
      <c r="P9" s="90">
        <f t="shared" ref="P9:P10" si="18">ROUND(L9*O9,2)</f>
        <v>277.52</v>
      </c>
      <c r="Q9" s="90">
        <v>4931</v>
      </c>
      <c r="R9" s="90">
        <f>0.07/2</f>
        <v>0.035</v>
      </c>
      <c r="S9" s="90">
        <f t="shared" ref="S9:S10" si="19">ROUND(Q9*R9,2)</f>
        <v>172.59</v>
      </c>
      <c r="T9" s="90">
        <v>0.02</v>
      </c>
      <c r="U9" s="90">
        <f t="shared" ref="U9:U10" si="20">ROUND(Q9*T9,2)</f>
        <v>98.62</v>
      </c>
      <c r="V9" s="90">
        <v>3000</v>
      </c>
      <c r="W9" s="90">
        <v>0.0048</v>
      </c>
      <c r="X9" s="90">
        <v>0</v>
      </c>
      <c r="Y9" s="90">
        <v>0.002</v>
      </c>
      <c r="Z9" s="90">
        <f t="shared" ref="Z9:Z10" si="21">ROUND(V9*Y9,2)</f>
        <v>6</v>
      </c>
      <c r="AA9" s="90">
        <v>4931</v>
      </c>
      <c r="AB9" s="90">
        <v>0.0085</v>
      </c>
      <c r="AC9" s="90">
        <f t="shared" ref="AC9:AC10" si="22">ROUND(AA9*AB9,2)</f>
        <v>41.91</v>
      </c>
      <c r="AD9" s="90">
        <v>3000</v>
      </c>
      <c r="AE9" s="90">
        <v>0.002</v>
      </c>
      <c r="AF9" s="90">
        <v>0</v>
      </c>
      <c r="AG9" s="90">
        <v>3000</v>
      </c>
      <c r="AH9" s="90">
        <v>0.12</v>
      </c>
      <c r="AI9" s="90">
        <f t="shared" ref="AI9" si="23">ROUND(AG9*AH9,2)</f>
        <v>360</v>
      </c>
      <c r="AJ9" s="90">
        <v>0.12</v>
      </c>
      <c r="AK9" s="90">
        <f t="shared" ref="AK9" si="24">ROUND(AG9*AJ9,2)</f>
        <v>360</v>
      </c>
      <c r="AL9" s="90">
        <v>7425</v>
      </c>
      <c r="AM9" s="90">
        <v>0.0026</v>
      </c>
      <c r="AN9" s="126">
        <f>AL9*AM9</f>
        <v>19.305</v>
      </c>
      <c r="AO9" s="90"/>
      <c r="AP9" s="90"/>
      <c r="AQ9" s="90">
        <v>63.76</v>
      </c>
      <c r="AR9" s="90"/>
      <c r="AS9" s="96">
        <f t="shared" ref="AS9:AS10" si="25">N9+S9+X9+AC9+AF9+AN9+AQ9</f>
        <v>297.565</v>
      </c>
      <c r="AT9" s="96">
        <f t="shared" ref="AT9:AT10" si="26">P9+U9+Z9</f>
        <v>382.14</v>
      </c>
      <c r="AU9" s="96">
        <f t="shared" ref="AU9:AU10" si="27">AI9</f>
        <v>360</v>
      </c>
      <c r="AV9" s="96">
        <f t="shared" ref="AV9:AV10" si="28">AK9</f>
        <v>360</v>
      </c>
      <c r="AW9" s="96">
        <f t="shared" ref="AW9:AW10" si="29">AV9+AS9+AT9+AU9</f>
        <v>1399.705</v>
      </c>
      <c r="AX9" s="146">
        <f t="shared" ref="AX9:AX10" si="30">AS9+AT9</f>
        <v>679.705</v>
      </c>
      <c r="AY9" s="146"/>
      <c r="AZ9" s="146">
        <f t="shared" ref="AZ9:AZ10" si="31">AU9+AV9</f>
        <v>720</v>
      </c>
      <c r="BA9" s="146"/>
      <c r="BB9" s="147">
        <v>80</v>
      </c>
      <c r="BC9" s="146">
        <f t="shared" ref="BC9:BC10" si="32">AX9+AZ9+BB9</f>
        <v>1479.705</v>
      </c>
      <c r="BD9" s="148" t="s">
        <v>90</v>
      </c>
      <c r="BE9" s="168"/>
      <c r="BF9" s="168"/>
      <c r="BG9" s="168"/>
      <c r="BH9" s="168"/>
    </row>
    <row r="10" s="77" customFormat="1" ht="18" customHeight="1" spans="1:60">
      <c r="A10" s="90">
        <v>5</v>
      </c>
      <c r="B10" s="91" t="s">
        <v>75</v>
      </c>
      <c r="C10" s="92" t="s">
        <v>86</v>
      </c>
      <c r="D10" s="92" t="s">
        <v>77</v>
      </c>
      <c r="E10" s="91" t="s">
        <v>87</v>
      </c>
      <c r="F10" s="90" t="s">
        <v>88</v>
      </c>
      <c r="G10" s="90" t="s">
        <v>89</v>
      </c>
      <c r="H10" s="96">
        <v>20151001</v>
      </c>
      <c r="I10" s="96">
        <v>20151001</v>
      </c>
      <c r="J10" s="95" t="s">
        <v>84</v>
      </c>
      <c r="K10" s="95" t="s">
        <v>84</v>
      </c>
      <c r="L10" s="90">
        <v>3469</v>
      </c>
      <c r="M10" s="90">
        <v>0.14</v>
      </c>
      <c r="N10" s="90">
        <v>0</v>
      </c>
      <c r="O10" s="90">
        <v>0.08</v>
      </c>
      <c r="P10" s="90">
        <f t="shared" si="18"/>
        <v>277.52</v>
      </c>
      <c r="Q10" s="90">
        <v>4931</v>
      </c>
      <c r="R10" s="90">
        <f t="shared" ref="R10:R14" si="33">0.07/2</f>
        <v>0.035</v>
      </c>
      <c r="S10" s="90">
        <f t="shared" si="19"/>
        <v>172.59</v>
      </c>
      <c r="T10" s="90">
        <v>0.02</v>
      </c>
      <c r="U10" s="90">
        <f t="shared" si="20"/>
        <v>98.62</v>
      </c>
      <c r="V10" s="90">
        <v>3000</v>
      </c>
      <c r="W10" s="90">
        <v>0.0048</v>
      </c>
      <c r="X10" s="90">
        <v>0</v>
      </c>
      <c r="Y10" s="90">
        <v>0.002</v>
      </c>
      <c r="Z10" s="90">
        <f t="shared" si="21"/>
        <v>6</v>
      </c>
      <c r="AA10" s="90">
        <v>4931</v>
      </c>
      <c r="AB10" s="90">
        <v>0.0085</v>
      </c>
      <c r="AC10" s="90">
        <f t="shared" si="22"/>
        <v>41.91</v>
      </c>
      <c r="AD10" s="90">
        <v>3000</v>
      </c>
      <c r="AE10" s="90">
        <v>0.002</v>
      </c>
      <c r="AF10" s="90">
        <v>0</v>
      </c>
      <c r="AG10" s="90"/>
      <c r="AH10" s="90"/>
      <c r="AI10" s="90"/>
      <c r="AJ10" s="90"/>
      <c r="AK10" s="90"/>
      <c r="AL10" s="90">
        <v>7425</v>
      </c>
      <c r="AM10" s="90">
        <v>0.0026</v>
      </c>
      <c r="AN10" s="126">
        <f>AL10*AM10</f>
        <v>19.305</v>
      </c>
      <c r="AO10" s="90"/>
      <c r="AP10" s="90"/>
      <c r="AQ10" s="90">
        <v>63.76</v>
      </c>
      <c r="AR10" s="90"/>
      <c r="AS10" s="96">
        <f t="shared" si="25"/>
        <v>297.565</v>
      </c>
      <c r="AT10" s="96">
        <f t="shared" si="26"/>
        <v>382.14</v>
      </c>
      <c r="AU10" s="96">
        <f t="shared" si="27"/>
        <v>0</v>
      </c>
      <c r="AV10" s="96">
        <f t="shared" si="28"/>
        <v>0</v>
      </c>
      <c r="AW10" s="96">
        <f t="shared" si="29"/>
        <v>679.705</v>
      </c>
      <c r="AX10" s="146">
        <f t="shared" si="30"/>
        <v>679.705</v>
      </c>
      <c r="AY10" s="146"/>
      <c r="AZ10" s="146">
        <f t="shared" si="31"/>
        <v>0</v>
      </c>
      <c r="BA10" s="146"/>
      <c r="BB10" s="147">
        <v>80</v>
      </c>
      <c r="BC10" s="146">
        <f t="shared" si="32"/>
        <v>759.705</v>
      </c>
      <c r="BD10" s="151"/>
      <c r="BE10" s="168"/>
      <c r="BF10" s="168"/>
      <c r="BG10" s="168"/>
      <c r="BH10" s="168"/>
    </row>
    <row r="11" s="76" customFormat="1" ht="18" customHeight="1" spans="1:60">
      <c r="A11" s="93">
        <v>6</v>
      </c>
      <c r="B11" s="91" t="s">
        <v>75</v>
      </c>
      <c r="C11" s="92" t="s">
        <v>86</v>
      </c>
      <c r="D11" s="92" t="s">
        <v>77</v>
      </c>
      <c r="E11" s="91" t="s">
        <v>87</v>
      </c>
      <c r="F11" s="90" t="s">
        <v>88</v>
      </c>
      <c r="G11" s="90" t="s">
        <v>89</v>
      </c>
      <c r="H11" s="96">
        <v>20151001</v>
      </c>
      <c r="I11" s="96">
        <v>20151001</v>
      </c>
      <c r="J11" s="95" t="s">
        <v>85</v>
      </c>
      <c r="K11" s="95" t="s">
        <v>85</v>
      </c>
      <c r="L11" s="90">
        <v>3469</v>
      </c>
      <c r="M11" s="90">
        <v>0.14</v>
      </c>
      <c r="N11" s="90">
        <v>0</v>
      </c>
      <c r="O11" s="90">
        <v>0.08</v>
      </c>
      <c r="P11" s="90">
        <f t="shared" si="1"/>
        <v>277.52</v>
      </c>
      <c r="Q11" s="90">
        <v>4931</v>
      </c>
      <c r="R11" s="90">
        <f t="shared" si="33"/>
        <v>0.035</v>
      </c>
      <c r="S11" s="90">
        <f t="shared" ref="S11" si="34">ROUND(Q11*R11,2)</f>
        <v>172.59</v>
      </c>
      <c r="T11" s="90">
        <v>0.02</v>
      </c>
      <c r="U11" s="90">
        <f t="shared" si="2"/>
        <v>98.62</v>
      </c>
      <c r="V11" s="90">
        <v>3000</v>
      </c>
      <c r="W11" s="90">
        <v>0.0048</v>
      </c>
      <c r="X11" s="90">
        <v>0</v>
      </c>
      <c r="Y11" s="90">
        <v>0.002</v>
      </c>
      <c r="Z11" s="90">
        <f t="shared" si="4"/>
        <v>6</v>
      </c>
      <c r="AA11" s="90">
        <v>4931</v>
      </c>
      <c r="AB11" s="90">
        <v>0.0085</v>
      </c>
      <c r="AC11" s="90">
        <f t="shared" si="5"/>
        <v>41.91</v>
      </c>
      <c r="AD11" s="90">
        <v>3000</v>
      </c>
      <c r="AE11" s="90">
        <v>0.002</v>
      </c>
      <c r="AF11" s="90">
        <v>0</v>
      </c>
      <c r="AG11" s="90"/>
      <c r="AH11" s="90"/>
      <c r="AI11" s="90"/>
      <c r="AJ11" s="90"/>
      <c r="AK11" s="90"/>
      <c r="AL11" s="90">
        <v>7425</v>
      </c>
      <c r="AM11" s="90">
        <v>0.0026</v>
      </c>
      <c r="AN11" s="126">
        <f>AL11*AM11</f>
        <v>19.305</v>
      </c>
      <c r="AO11" s="90"/>
      <c r="AP11" s="90"/>
      <c r="AQ11" s="90">
        <v>63.76</v>
      </c>
      <c r="AR11" s="90"/>
      <c r="AS11" s="96">
        <f t="shared" si="9"/>
        <v>297.565</v>
      </c>
      <c r="AT11" s="96">
        <f t="shared" si="10"/>
        <v>382.14</v>
      </c>
      <c r="AU11" s="96">
        <f t="shared" si="11"/>
        <v>0</v>
      </c>
      <c r="AV11" s="96">
        <f t="shared" si="12"/>
        <v>0</v>
      </c>
      <c r="AW11" s="96">
        <f t="shared" si="13"/>
        <v>679.705</v>
      </c>
      <c r="AX11" s="146">
        <f t="shared" si="14"/>
        <v>679.705</v>
      </c>
      <c r="AY11" s="146"/>
      <c r="AZ11" s="146">
        <f t="shared" si="15"/>
        <v>0</v>
      </c>
      <c r="BA11" s="146"/>
      <c r="BB11" s="147">
        <v>80</v>
      </c>
      <c r="BC11" s="146">
        <f t="shared" si="16"/>
        <v>759.705</v>
      </c>
      <c r="BD11" s="152"/>
      <c r="BE11" s="166"/>
      <c r="BF11" s="167"/>
      <c r="BG11" s="167"/>
      <c r="BH11" s="167" t="s">
        <v>91</v>
      </c>
    </row>
    <row r="12" s="76" customFormat="1" ht="18" customHeight="1" spans="1:60">
      <c r="A12" s="90">
        <v>7</v>
      </c>
      <c r="B12" s="91" t="s">
        <v>75</v>
      </c>
      <c r="C12" s="92" t="s">
        <v>92</v>
      </c>
      <c r="D12" s="92" t="s">
        <v>77</v>
      </c>
      <c r="E12" s="94" t="s">
        <v>93</v>
      </c>
      <c r="F12" s="97" t="s">
        <v>94</v>
      </c>
      <c r="G12" s="98" t="s">
        <v>95</v>
      </c>
      <c r="H12" s="99" t="s">
        <v>96</v>
      </c>
      <c r="I12" s="99" t="s">
        <v>96</v>
      </c>
      <c r="J12" s="95" t="s">
        <v>82</v>
      </c>
      <c r="K12" s="95" t="s">
        <v>82</v>
      </c>
      <c r="L12" s="123" t="s">
        <v>97</v>
      </c>
      <c r="M12" s="90">
        <v>0.2</v>
      </c>
      <c r="N12" s="90">
        <v>0</v>
      </c>
      <c r="O12" s="90">
        <v>0.08</v>
      </c>
      <c r="P12" s="90">
        <f t="shared" ref="P12:P14" si="35">ROUND(L12*O12,2)</f>
        <v>241.52</v>
      </c>
      <c r="Q12" s="123" t="s">
        <v>97</v>
      </c>
      <c r="R12" s="90">
        <f t="shared" si="33"/>
        <v>0.035</v>
      </c>
      <c r="S12" s="90">
        <f t="shared" ref="S12:S15" si="36">ROUND(Q12*R12,2)</f>
        <v>105.67</v>
      </c>
      <c r="T12" s="90">
        <v>0.02</v>
      </c>
      <c r="U12" s="90">
        <f t="shared" ref="U12:U14" si="37">ROUND(Q12*T12,2)</f>
        <v>60.38</v>
      </c>
      <c r="V12" s="90">
        <v>3019</v>
      </c>
      <c r="W12" s="90">
        <v>0.005</v>
      </c>
      <c r="X12" s="90">
        <v>0</v>
      </c>
      <c r="Y12" s="90">
        <v>0.005</v>
      </c>
      <c r="Z12" s="90">
        <f t="shared" ref="Z12:Z14" si="38">ROUND(V12*Y12,2)</f>
        <v>15.1</v>
      </c>
      <c r="AA12" s="90">
        <v>3019</v>
      </c>
      <c r="AB12" s="90">
        <v>0.005</v>
      </c>
      <c r="AC12" s="90">
        <f>ROUND(AA12*AB12,2)/2</f>
        <v>7.55</v>
      </c>
      <c r="AD12" s="90">
        <v>3019</v>
      </c>
      <c r="AE12" s="90">
        <v>0.009</v>
      </c>
      <c r="AF12" s="90">
        <v>0</v>
      </c>
      <c r="AG12" s="90">
        <v>1700</v>
      </c>
      <c r="AH12" s="90">
        <v>0.12</v>
      </c>
      <c r="AI12" s="90">
        <f t="shared" ref="AI12:AI13" si="39">ROUND(AG12*AH12,2)</f>
        <v>204</v>
      </c>
      <c r="AJ12" s="90">
        <v>0.12</v>
      </c>
      <c r="AK12" s="90">
        <f t="shared" ref="AK12:AK13" si="40">ROUND(AG12*AJ12,2)</f>
        <v>204</v>
      </c>
      <c r="AL12" s="127"/>
      <c r="AM12" s="127"/>
      <c r="AN12" s="127"/>
      <c r="AO12" s="127"/>
      <c r="AP12" s="127"/>
      <c r="AQ12" s="127"/>
      <c r="AR12" s="127"/>
      <c r="AS12" s="96">
        <f t="shared" ref="AS12:AS14" si="41">N12+S12+X12+AC12+AF12+AN12+AQ12</f>
        <v>113.22</v>
      </c>
      <c r="AT12" s="96">
        <f t="shared" ref="AT12:AT14" si="42">P12+U12+Z12</f>
        <v>317</v>
      </c>
      <c r="AU12" s="96">
        <f t="shared" ref="AU12:AU14" si="43">AI12</f>
        <v>204</v>
      </c>
      <c r="AV12" s="96">
        <f t="shared" ref="AV12:AV14" si="44">AK12</f>
        <v>204</v>
      </c>
      <c r="AW12" s="96">
        <f t="shared" ref="AW12:AW14" si="45">AV12+AS12+AT12+AU12</f>
        <v>838.22</v>
      </c>
      <c r="AX12" s="146">
        <f t="shared" ref="AX12:AX14" si="46">AS12+AT12</f>
        <v>430.22</v>
      </c>
      <c r="AY12" s="146"/>
      <c r="AZ12" s="146">
        <f t="shared" ref="AZ12:AZ14" si="47">AU12+AV12</f>
        <v>408</v>
      </c>
      <c r="BA12" s="146"/>
      <c r="BB12" s="147">
        <v>80</v>
      </c>
      <c r="BC12" s="146">
        <f t="shared" ref="BC12:BC14" si="48">AX12+AZ12+BB12</f>
        <v>918.22</v>
      </c>
      <c r="BD12" s="148" t="s">
        <v>98</v>
      </c>
      <c r="BE12" s="167"/>
      <c r="BF12" s="167"/>
      <c r="BG12" s="167"/>
      <c r="BH12" s="167"/>
    </row>
    <row r="13" s="77" customFormat="1" ht="18" customHeight="1" spans="1:60">
      <c r="A13" s="93">
        <v>8</v>
      </c>
      <c r="B13" s="94" t="s">
        <v>75</v>
      </c>
      <c r="C13" s="95" t="s">
        <v>92</v>
      </c>
      <c r="D13" s="95" t="s">
        <v>77</v>
      </c>
      <c r="E13" s="94" t="s">
        <v>93</v>
      </c>
      <c r="F13" s="100" t="s">
        <v>94</v>
      </c>
      <c r="G13" s="101" t="s">
        <v>95</v>
      </c>
      <c r="H13" s="99" t="s">
        <v>96</v>
      </c>
      <c r="I13" s="99" t="s">
        <v>96</v>
      </c>
      <c r="J13" s="95" t="s">
        <v>84</v>
      </c>
      <c r="K13" s="95" t="s">
        <v>84</v>
      </c>
      <c r="L13" s="123" t="s">
        <v>97</v>
      </c>
      <c r="M13" s="93">
        <v>0.2</v>
      </c>
      <c r="N13" s="93">
        <v>0</v>
      </c>
      <c r="O13" s="93">
        <v>0.08</v>
      </c>
      <c r="P13" s="93">
        <f t="shared" si="35"/>
        <v>241.52</v>
      </c>
      <c r="Q13" s="123" t="s">
        <v>97</v>
      </c>
      <c r="R13" s="90">
        <f t="shared" si="33"/>
        <v>0.035</v>
      </c>
      <c r="S13" s="93">
        <f t="shared" si="36"/>
        <v>105.67</v>
      </c>
      <c r="T13" s="93">
        <v>0.02</v>
      </c>
      <c r="U13" s="93">
        <f t="shared" si="37"/>
        <v>60.38</v>
      </c>
      <c r="V13" s="93">
        <v>3019</v>
      </c>
      <c r="W13" s="93">
        <v>0.005</v>
      </c>
      <c r="X13" s="93">
        <v>0</v>
      </c>
      <c r="Y13" s="93">
        <v>0.005</v>
      </c>
      <c r="Z13" s="93">
        <f t="shared" si="38"/>
        <v>15.1</v>
      </c>
      <c r="AA13" s="93">
        <v>3019</v>
      </c>
      <c r="AB13" s="93">
        <v>0.005</v>
      </c>
      <c r="AC13" s="90">
        <f t="shared" ref="AC13:AC14" si="49">ROUND(AA13*AB13,2)/2</f>
        <v>7.55</v>
      </c>
      <c r="AD13" s="93">
        <v>3019</v>
      </c>
      <c r="AE13" s="93">
        <v>0.009</v>
      </c>
      <c r="AF13" s="90">
        <v>0</v>
      </c>
      <c r="AG13" s="93">
        <v>1700</v>
      </c>
      <c r="AH13" s="93">
        <v>0.12</v>
      </c>
      <c r="AI13" s="93">
        <f t="shared" si="39"/>
        <v>204</v>
      </c>
      <c r="AJ13" s="93">
        <v>0.12</v>
      </c>
      <c r="AK13" s="93">
        <f t="shared" si="40"/>
        <v>204</v>
      </c>
      <c r="AL13" s="128"/>
      <c r="AM13" s="128"/>
      <c r="AN13" s="128"/>
      <c r="AO13" s="128"/>
      <c r="AP13" s="128"/>
      <c r="AQ13" s="128"/>
      <c r="AR13" s="128"/>
      <c r="AS13" s="137">
        <f t="shared" si="41"/>
        <v>113.22</v>
      </c>
      <c r="AT13" s="137">
        <f t="shared" si="42"/>
        <v>317</v>
      </c>
      <c r="AU13" s="137">
        <f t="shared" si="43"/>
        <v>204</v>
      </c>
      <c r="AV13" s="137">
        <f t="shared" si="44"/>
        <v>204</v>
      </c>
      <c r="AW13" s="137">
        <f t="shared" si="45"/>
        <v>838.22</v>
      </c>
      <c r="AX13" s="149">
        <f t="shared" si="46"/>
        <v>430.22</v>
      </c>
      <c r="AY13" s="149"/>
      <c r="AZ13" s="149">
        <f t="shared" si="47"/>
        <v>408</v>
      </c>
      <c r="BA13" s="149"/>
      <c r="BB13" s="150">
        <v>80</v>
      </c>
      <c r="BC13" s="149">
        <f t="shared" si="48"/>
        <v>918.22</v>
      </c>
      <c r="BD13" s="153"/>
      <c r="BE13" s="168"/>
      <c r="BF13" s="168"/>
      <c r="BG13" s="168"/>
      <c r="BH13" s="168"/>
    </row>
    <row r="14" s="77" customFormat="1" ht="18" customHeight="1" spans="1:60">
      <c r="A14" s="93">
        <v>9</v>
      </c>
      <c r="B14" s="94" t="s">
        <v>75</v>
      </c>
      <c r="C14" s="95" t="s">
        <v>92</v>
      </c>
      <c r="D14" s="95" t="s">
        <v>77</v>
      </c>
      <c r="E14" s="94" t="s">
        <v>93</v>
      </c>
      <c r="F14" s="100" t="s">
        <v>94</v>
      </c>
      <c r="G14" s="101" t="s">
        <v>95</v>
      </c>
      <c r="H14" s="99" t="s">
        <v>96</v>
      </c>
      <c r="I14" s="99" t="s">
        <v>96</v>
      </c>
      <c r="J14" s="95" t="s">
        <v>85</v>
      </c>
      <c r="K14" s="95" t="s">
        <v>85</v>
      </c>
      <c r="L14" s="123" t="s">
        <v>97</v>
      </c>
      <c r="M14" s="93">
        <v>0.2</v>
      </c>
      <c r="N14" s="93">
        <v>0</v>
      </c>
      <c r="O14" s="93">
        <v>0.08</v>
      </c>
      <c r="P14" s="93">
        <f t="shared" si="35"/>
        <v>241.52</v>
      </c>
      <c r="Q14" s="123" t="s">
        <v>97</v>
      </c>
      <c r="R14" s="90">
        <f t="shared" si="33"/>
        <v>0.035</v>
      </c>
      <c r="S14" s="93">
        <f t="shared" si="36"/>
        <v>105.67</v>
      </c>
      <c r="T14" s="93">
        <v>0.02</v>
      </c>
      <c r="U14" s="93">
        <f t="shared" si="37"/>
        <v>60.38</v>
      </c>
      <c r="V14" s="93">
        <v>3019</v>
      </c>
      <c r="W14" s="93">
        <v>0.005</v>
      </c>
      <c r="X14" s="93">
        <v>0</v>
      </c>
      <c r="Y14" s="93">
        <v>0.005</v>
      </c>
      <c r="Z14" s="93">
        <f t="shared" si="38"/>
        <v>15.1</v>
      </c>
      <c r="AA14" s="93">
        <v>3019</v>
      </c>
      <c r="AB14" s="93">
        <v>0.005</v>
      </c>
      <c r="AC14" s="90">
        <f t="shared" si="49"/>
        <v>7.55</v>
      </c>
      <c r="AD14" s="93">
        <v>3019</v>
      </c>
      <c r="AE14" s="93">
        <v>0.009</v>
      </c>
      <c r="AF14" s="90">
        <v>0</v>
      </c>
      <c r="AG14" s="93"/>
      <c r="AH14" s="93"/>
      <c r="AI14" s="93"/>
      <c r="AJ14" s="93"/>
      <c r="AK14" s="93"/>
      <c r="AL14" s="128"/>
      <c r="AM14" s="128"/>
      <c r="AN14" s="128"/>
      <c r="AO14" s="128"/>
      <c r="AP14" s="128"/>
      <c r="AQ14" s="128"/>
      <c r="AR14" s="128"/>
      <c r="AS14" s="137">
        <f t="shared" si="41"/>
        <v>113.22</v>
      </c>
      <c r="AT14" s="137">
        <f t="shared" si="42"/>
        <v>317</v>
      </c>
      <c r="AU14" s="137">
        <f t="shared" si="43"/>
        <v>0</v>
      </c>
      <c r="AV14" s="137">
        <f t="shared" si="44"/>
        <v>0</v>
      </c>
      <c r="AW14" s="137">
        <f t="shared" si="45"/>
        <v>430.22</v>
      </c>
      <c r="AX14" s="149">
        <f t="shared" si="46"/>
        <v>430.22</v>
      </c>
      <c r="AY14" s="149"/>
      <c r="AZ14" s="149">
        <f t="shared" si="47"/>
        <v>0</v>
      </c>
      <c r="BA14" s="149"/>
      <c r="BB14" s="150">
        <v>80</v>
      </c>
      <c r="BC14" s="149">
        <f t="shared" si="48"/>
        <v>510.22</v>
      </c>
      <c r="BD14" s="153"/>
      <c r="BE14" s="168"/>
      <c r="BF14" s="168"/>
      <c r="BG14" s="168"/>
      <c r="BH14" s="168"/>
    </row>
    <row r="15" s="78" customFormat="1" ht="18" customHeight="1" spans="1:60">
      <c r="A15" s="102" t="s">
        <v>99</v>
      </c>
      <c r="B15" s="103" t="s">
        <v>75</v>
      </c>
      <c r="C15" s="104" t="s">
        <v>76</v>
      </c>
      <c r="D15" s="104" t="s">
        <v>77</v>
      </c>
      <c r="E15" s="103" t="s">
        <v>78</v>
      </c>
      <c r="F15" s="102" t="s">
        <v>79</v>
      </c>
      <c r="G15" s="102" t="s">
        <v>80</v>
      </c>
      <c r="H15" s="104"/>
      <c r="I15" s="104"/>
      <c r="J15" s="104" t="s">
        <v>100</v>
      </c>
      <c r="K15" s="104"/>
      <c r="L15" s="102"/>
      <c r="M15" s="102"/>
      <c r="N15" s="102"/>
      <c r="O15" s="102"/>
      <c r="P15" s="102"/>
      <c r="Q15" s="102">
        <v>-3300</v>
      </c>
      <c r="R15" s="102">
        <v>0.07</v>
      </c>
      <c r="S15" s="102">
        <f t="shared" si="36"/>
        <v>-231</v>
      </c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38"/>
      <c r="AR15" s="102"/>
      <c r="AS15" s="105">
        <f t="shared" ref="AS15:AS17" si="50">N15+S15+X15+AC15+AF15+AN15+AQ15</f>
        <v>-231</v>
      </c>
      <c r="AT15" s="105">
        <f t="shared" ref="AT15:AT17" si="51">P15+U15+Z15</f>
        <v>0</v>
      </c>
      <c r="AU15" s="105">
        <f t="shared" ref="AU15:AU17" si="52">AI15</f>
        <v>0</v>
      </c>
      <c r="AV15" s="105">
        <f t="shared" ref="AV15:AV17" si="53">AK15</f>
        <v>0</v>
      </c>
      <c r="AW15" s="105">
        <f t="shared" ref="AW15:AW17" si="54">AV15+AS15+AT15+AU15</f>
        <v>-231</v>
      </c>
      <c r="AX15" s="154">
        <f t="shared" ref="AX15:AX17" si="55">AS15+AT15</f>
        <v>-231</v>
      </c>
      <c r="AY15" s="154"/>
      <c r="AZ15" s="154">
        <f t="shared" ref="AZ15:AZ17" si="56">AU15+AV15</f>
        <v>0</v>
      </c>
      <c r="BA15" s="154"/>
      <c r="BB15" s="155">
        <v>0</v>
      </c>
      <c r="BC15" s="154">
        <f t="shared" ref="BC15:BC17" si="57">AX15+AZ15+BB15</f>
        <v>-231</v>
      </c>
      <c r="BD15" s="148" t="s">
        <v>83</v>
      </c>
      <c r="BE15" s="169"/>
      <c r="BF15" s="170"/>
      <c r="BG15" s="170"/>
      <c r="BH15" s="170"/>
    </row>
    <row r="16" s="78" customFormat="1" ht="18" customHeight="1" spans="1:60">
      <c r="A16" s="102" t="s">
        <v>99</v>
      </c>
      <c r="B16" s="103" t="s">
        <v>75</v>
      </c>
      <c r="C16" s="104" t="s">
        <v>86</v>
      </c>
      <c r="D16" s="104" t="s">
        <v>77</v>
      </c>
      <c r="E16" s="103" t="s">
        <v>87</v>
      </c>
      <c r="F16" s="102" t="s">
        <v>88</v>
      </c>
      <c r="G16" s="102" t="s">
        <v>89</v>
      </c>
      <c r="H16" s="105"/>
      <c r="I16" s="105"/>
      <c r="J16" s="104" t="s">
        <v>100</v>
      </c>
      <c r="K16" s="104"/>
      <c r="L16" s="102">
        <v>-3469</v>
      </c>
      <c r="M16" s="102">
        <v>0.14</v>
      </c>
      <c r="N16" s="102">
        <f>ROUND(L16*M16,2)*2</f>
        <v>-971.32</v>
      </c>
      <c r="O16" s="102"/>
      <c r="P16" s="102"/>
      <c r="Q16" s="102">
        <v>-4931</v>
      </c>
      <c r="R16" s="102">
        <f>0.07-0.035</f>
        <v>0.035</v>
      </c>
      <c r="S16" s="102">
        <f>ROUND(Q16*R16,2)*2</f>
        <v>-345.18</v>
      </c>
      <c r="T16" s="102"/>
      <c r="U16" s="102"/>
      <c r="V16" s="102">
        <v>-3000</v>
      </c>
      <c r="W16" s="102">
        <v>0.0048</v>
      </c>
      <c r="X16" s="102">
        <f>ROUND(V16*W16,2)*2</f>
        <v>-28.8</v>
      </c>
      <c r="Y16" s="102"/>
      <c r="Z16" s="102"/>
      <c r="AA16" s="102"/>
      <c r="AB16" s="102"/>
      <c r="AC16" s="102"/>
      <c r="AD16" s="102">
        <v>-3000</v>
      </c>
      <c r="AE16" s="102">
        <v>0.002</v>
      </c>
      <c r="AF16" s="102">
        <f>ROUND(AD16*AE16,2)*2</f>
        <v>-12</v>
      </c>
      <c r="AG16" s="102"/>
      <c r="AH16" s="102"/>
      <c r="AI16" s="102"/>
      <c r="AJ16" s="102"/>
      <c r="AK16" s="102"/>
      <c r="AL16" s="102"/>
      <c r="AM16" s="102"/>
      <c r="AN16" s="129"/>
      <c r="AO16" s="102"/>
      <c r="AP16" s="102"/>
      <c r="AQ16" s="102"/>
      <c r="AR16" s="102"/>
      <c r="AS16" s="105">
        <f t="shared" si="50"/>
        <v>-1357.3</v>
      </c>
      <c r="AT16" s="105">
        <f t="shared" si="51"/>
        <v>0</v>
      </c>
      <c r="AU16" s="105">
        <f t="shared" si="52"/>
        <v>0</v>
      </c>
      <c r="AV16" s="105">
        <f t="shared" si="53"/>
        <v>0</v>
      </c>
      <c r="AW16" s="105">
        <f t="shared" si="54"/>
        <v>-1357.3</v>
      </c>
      <c r="AX16" s="154">
        <f t="shared" si="55"/>
        <v>-1357.3</v>
      </c>
      <c r="AY16" s="154"/>
      <c r="AZ16" s="154">
        <f t="shared" si="56"/>
        <v>0</v>
      </c>
      <c r="BA16" s="154"/>
      <c r="BB16" s="155">
        <v>0</v>
      </c>
      <c r="BC16" s="154">
        <f t="shared" si="57"/>
        <v>-1357.3</v>
      </c>
      <c r="BD16" s="148" t="s">
        <v>90</v>
      </c>
      <c r="BE16" s="170"/>
      <c r="BF16" s="170"/>
      <c r="BG16" s="170"/>
      <c r="BH16" s="170"/>
    </row>
    <row r="17" s="78" customFormat="1" ht="18" customHeight="1" spans="1:60">
      <c r="A17" s="102" t="s">
        <v>99</v>
      </c>
      <c r="B17" s="103" t="s">
        <v>75</v>
      </c>
      <c r="C17" s="104" t="s">
        <v>92</v>
      </c>
      <c r="D17" s="104" t="s">
        <v>77</v>
      </c>
      <c r="E17" s="103" t="s">
        <v>93</v>
      </c>
      <c r="F17" s="106" t="s">
        <v>94</v>
      </c>
      <c r="G17" s="107" t="s">
        <v>95</v>
      </c>
      <c r="H17" s="108"/>
      <c r="I17" s="108"/>
      <c r="J17" s="104" t="s">
        <v>100</v>
      </c>
      <c r="K17" s="104"/>
      <c r="L17" s="124" t="s">
        <v>101</v>
      </c>
      <c r="M17" s="102">
        <v>0.2</v>
      </c>
      <c r="N17" s="104">
        <f>ROUND(L17*M17,2)*2</f>
        <v>-1207.6</v>
      </c>
      <c r="O17" s="102"/>
      <c r="P17" s="102"/>
      <c r="Q17" s="124" t="s">
        <v>101</v>
      </c>
      <c r="R17" s="102">
        <v>0.07</v>
      </c>
      <c r="S17" s="102">
        <f>ROUND(Q17*R17,2)</f>
        <v>-211.33</v>
      </c>
      <c r="T17" s="102"/>
      <c r="U17" s="102"/>
      <c r="V17" s="102">
        <v>-3019</v>
      </c>
      <c r="W17" s="102">
        <v>0.005</v>
      </c>
      <c r="X17" s="102">
        <f>ROUND(V17*W17,2)*2</f>
        <v>-30.2</v>
      </c>
      <c r="Y17" s="102"/>
      <c r="Z17" s="102"/>
      <c r="AA17" s="102">
        <v>-3019</v>
      </c>
      <c r="AB17" s="102">
        <v>0.005</v>
      </c>
      <c r="AC17" s="102">
        <f>ROUND(AA17*AB17,2)</f>
        <v>-15.1</v>
      </c>
      <c r="AD17" s="102">
        <v>-3019</v>
      </c>
      <c r="AE17" s="102">
        <v>0.009</v>
      </c>
      <c r="AF17" s="102">
        <f>ROUND(AD17*AE17,2)*2</f>
        <v>-54.34</v>
      </c>
      <c r="AG17" s="102"/>
      <c r="AH17" s="102"/>
      <c r="AI17" s="102"/>
      <c r="AJ17" s="102"/>
      <c r="AK17" s="102"/>
      <c r="AL17" s="130"/>
      <c r="AM17" s="130"/>
      <c r="AN17" s="130"/>
      <c r="AO17" s="130"/>
      <c r="AP17" s="130"/>
      <c r="AQ17" s="130"/>
      <c r="AR17" s="130"/>
      <c r="AS17" s="105">
        <f t="shared" si="50"/>
        <v>-1518.57</v>
      </c>
      <c r="AT17" s="105">
        <f t="shared" si="51"/>
        <v>0</v>
      </c>
      <c r="AU17" s="105">
        <f t="shared" si="52"/>
        <v>0</v>
      </c>
      <c r="AV17" s="105">
        <f t="shared" si="53"/>
        <v>0</v>
      </c>
      <c r="AW17" s="105">
        <f t="shared" si="54"/>
        <v>-1518.57</v>
      </c>
      <c r="AX17" s="154">
        <f t="shared" si="55"/>
        <v>-1518.57</v>
      </c>
      <c r="AY17" s="154"/>
      <c r="AZ17" s="154">
        <f t="shared" si="56"/>
        <v>0</v>
      </c>
      <c r="BA17" s="154"/>
      <c r="BB17" s="155">
        <v>0</v>
      </c>
      <c r="BC17" s="154">
        <f t="shared" si="57"/>
        <v>-1518.57</v>
      </c>
      <c r="BD17" s="148" t="s">
        <v>102</v>
      </c>
      <c r="BE17" s="170"/>
      <c r="BF17" s="170"/>
      <c r="BG17" s="170"/>
      <c r="BH17" s="170"/>
    </row>
    <row r="18" ht="14.25" spans="1:56">
      <c r="A18" s="109" t="s">
        <v>103</v>
      </c>
      <c r="B18" s="110"/>
      <c r="C18" s="111"/>
      <c r="D18" s="111"/>
      <c r="E18" s="112"/>
      <c r="F18" s="111"/>
      <c r="G18" s="111"/>
      <c r="H18" s="111"/>
      <c r="I18" s="111"/>
      <c r="J18" s="111"/>
      <c r="K18" s="111"/>
      <c r="L18" s="112"/>
      <c r="M18" s="112"/>
      <c r="N18" s="112">
        <f>SUM(N6:N17)</f>
        <v>-297.92</v>
      </c>
      <c r="O18" s="112"/>
      <c r="P18" s="112">
        <f>SUM(P6:P17)</f>
        <v>2349.12</v>
      </c>
      <c r="Q18" s="112"/>
      <c r="R18" s="112"/>
      <c r="S18" s="112">
        <f>SUM(S6:S17)</f>
        <v>336.02</v>
      </c>
      <c r="T18" s="112"/>
      <c r="U18" s="112">
        <f>SUM(U6:U17)</f>
        <v>675</v>
      </c>
      <c r="V18" s="112"/>
      <c r="W18" s="112"/>
      <c r="X18" s="112">
        <f>SUM(X6:X17)</f>
        <v>10.3</v>
      </c>
      <c r="Y18" s="112"/>
      <c r="Z18" s="112">
        <f>SUM(Z6:Z17)</f>
        <v>93</v>
      </c>
      <c r="AA18" s="112"/>
      <c r="AB18" s="112"/>
      <c r="AC18" s="112">
        <f>SUM(AC6:AC17)</f>
        <v>182.78</v>
      </c>
      <c r="AD18" s="112"/>
      <c r="AE18" s="112"/>
      <c r="AF18" s="112">
        <f>SUM(AF6:AF17)</f>
        <v>-26.74</v>
      </c>
      <c r="AG18" s="112"/>
      <c r="AH18" s="112"/>
      <c r="AI18" s="112">
        <f>SUM(AI6:AI17)</f>
        <v>1668</v>
      </c>
      <c r="AJ18" s="112"/>
      <c r="AK18" s="112">
        <f t="shared" ref="AK18:BC18" si="58">SUM(AK6:AK17)</f>
        <v>1308</v>
      </c>
      <c r="AL18" s="112">
        <f t="shared" si="58"/>
        <v>22275</v>
      </c>
      <c r="AM18" s="112">
        <f t="shared" si="58"/>
        <v>0.0078</v>
      </c>
      <c r="AN18" s="112">
        <f t="shared" si="58"/>
        <v>57.915</v>
      </c>
      <c r="AO18" s="112">
        <f t="shared" si="58"/>
        <v>0</v>
      </c>
      <c r="AP18" s="112">
        <f t="shared" si="58"/>
        <v>0</v>
      </c>
      <c r="AQ18" s="112">
        <f t="shared" si="58"/>
        <v>312.48</v>
      </c>
      <c r="AR18" s="112">
        <f t="shared" si="58"/>
        <v>0</v>
      </c>
      <c r="AS18" s="112">
        <f t="shared" si="58"/>
        <v>574.835</v>
      </c>
      <c r="AT18" s="112">
        <f t="shared" si="58"/>
        <v>3117.12</v>
      </c>
      <c r="AU18" s="112">
        <f t="shared" si="58"/>
        <v>1668</v>
      </c>
      <c r="AV18" s="112">
        <f t="shared" si="58"/>
        <v>1308</v>
      </c>
      <c r="AW18" s="112">
        <f t="shared" si="58"/>
        <v>6667.955</v>
      </c>
      <c r="AX18" s="156">
        <f t="shared" si="58"/>
        <v>3691.955</v>
      </c>
      <c r="AY18" s="157"/>
      <c r="AZ18" s="156">
        <f t="shared" si="58"/>
        <v>2976</v>
      </c>
      <c r="BA18" s="157"/>
      <c r="BB18" s="112">
        <f t="shared" si="58"/>
        <v>720</v>
      </c>
      <c r="BC18" s="112">
        <f t="shared" si="58"/>
        <v>7387.955</v>
      </c>
      <c r="BD18" s="158"/>
    </row>
    <row r="19" ht="15" spans="1:56">
      <c r="A19" s="113" t="s">
        <v>61</v>
      </c>
      <c r="B19" s="114"/>
      <c r="C19" s="115"/>
      <c r="D19" s="115"/>
      <c r="E19" s="116"/>
      <c r="F19" s="116"/>
      <c r="G19" s="116"/>
      <c r="H19" s="116"/>
      <c r="I19" s="116"/>
      <c r="J19" s="116"/>
      <c r="K19" s="116"/>
      <c r="L19" s="125"/>
      <c r="M19" s="125"/>
      <c r="N19" s="125">
        <f t="shared" ref="N19:BC19" si="59">SUM(N18:N18)</f>
        <v>-297.92</v>
      </c>
      <c r="O19" s="125"/>
      <c r="P19" s="125">
        <f t="shared" si="59"/>
        <v>2349.12</v>
      </c>
      <c r="Q19" s="125"/>
      <c r="R19" s="125"/>
      <c r="S19" s="125">
        <f t="shared" si="59"/>
        <v>336.02</v>
      </c>
      <c r="T19" s="125"/>
      <c r="U19" s="125">
        <f t="shared" si="59"/>
        <v>675</v>
      </c>
      <c r="V19" s="125"/>
      <c r="W19" s="125"/>
      <c r="X19" s="125">
        <f t="shared" si="59"/>
        <v>10.3</v>
      </c>
      <c r="Y19" s="125"/>
      <c r="Z19" s="125">
        <f t="shared" si="59"/>
        <v>93</v>
      </c>
      <c r="AA19" s="125"/>
      <c r="AB19" s="125"/>
      <c r="AC19" s="125">
        <f t="shared" si="59"/>
        <v>182.78</v>
      </c>
      <c r="AD19" s="125"/>
      <c r="AE19" s="125"/>
      <c r="AF19" s="125">
        <f t="shared" si="59"/>
        <v>-26.74</v>
      </c>
      <c r="AG19" s="125"/>
      <c r="AH19" s="125"/>
      <c r="AI19" s="125">
        <f t="shared" si="59"/>
        <v>1668</v>
      </c>
      <c r="AJ19" s="125"/>
      <c r="AK19" s="125">
        <f t="shared" si="59"/>
        <v>1308</v>
      </c>
      <c r="AL19" s="125">
        <f t="shared" si="59"/>
        <v>22275</v>
      </c>
      <c r="AM19" s="125">
        <f t="shared" si="59"/>
        <v>0.0078</v>
      </c>
      <c r="AN19" s="125">
        <f t="shared" si="59"/>
        <v>57.915</v>
      </c>
      <c r="AO19" s="125">
        <f t="shared" si="59"/>
        <v>0</v>
      </c>
      <c r="AP19" s="125">
        <f t="shared" si="59"/>
        <v>0</v>
      </c>
      <c r="AQ19" s="125">
        <f t="shared" si="59"/>
        <v>312.48</v>
      </c>
      <c r="AR19" s="125">
        <f t="shared" si="59"/>
        <v>0</v>
      </c>
      <c r="AS19" s="139">
        <f t="shared" si="59"/>
        <v>574.835</v>
      </c>
      <c r="AT19" s="139">
        <f t="shared" si="59"/>
        <v>3117.12</v>
      </c>
      <c r="AU19" s="139">
        <f t="shared" si="59"/>
        <v>1668</v>
      </c>
      <c r="AV19" s="139">
        <f t="shared" si="59"/>
        <v>1308</v>
      </c>
      <c r="AW19" s="139">
        <f t="shared" si="59"/>
        <v>6667.955</v>
      </c>
      <c r="AX19" s="159">
        <f t="shared" si="59"/>
        <v>3691.955</v>
      </c>
      <c r="AY19" s="159"/>
      <c r="AZ19" s="159">
        <f t="shared" si="59"/>
        <v>2976</v>
      </c>
      <c r="BA19" s="159"/>
      <c r="BB19" s="125">
        <f t="shared" si="59"/>
        <v>720</v>
      </c>
      <c r="BC19" s="125">
        <f t="shared" si="59"/>
        <v>7387.955</v>
      </c>
      <c r="BD19" s="160"/>
    </row>
    <row r="20" s="79" customFormat="1" spans="1:56">
      <c r="A20" s="117"/>
      <c r="B20" s="117"/>
      <c r="C20" s="117"/>
      <c r="D20" s="117"/>
      <c r="E20" s="117"/>
      <c r="F20" s="118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40"/>
      <c r="AT20" s="140"/>
      <c r="AU20" s="140"/>
      <c r="AV20" s="140"/>
      <c r="AW20" s="140"/>
      <c r="AX20" s="117"/>
      <c r="AY20" s="117"/>
      <c r="AZ20" s="117"/>
      <c r="BA20" s="117"/>
      <c r="BB20" s="117"/>
      <c r="BC20" s="117"/>
      <c r="BD20" s="161"/>
    </row>
    <row r="21" s="80" customFormat="1" spans="1:5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/>
      <c r="AK21"/>
      <c r="AL21"/>
      <c r="AM21"/>
      <c r="AN21"/>
      <c r="AO21"/>
      <c r="AP21"/>
      <c r="AQ21"/>
      <c r="AR21"/>
      <c r="AS21" s="81"/>
      <c r="AT21" s="81"/>
      <c r="AU21" s="81"/>
      <c r="AV21" s="81"/>
      <c r="AW21" s="81"/>
      <c r="AX21"/>
      <c r="AY21"/>
      <c r="AZ21"/>
      <c r="BA21"/>
      <c r="BB21"/>
      <c r="BC21"/>
      <c r="BD21" s="82"/>
    </row>
    <row r="22" s="80" customFormat="1" ht="15" spans="1:56">
      <c r="A22" s="79" t="s">
        <v>104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79"/>
      <c r="AK22" s="79"/>
      <c r="AL22" s="79"/>
      <c r="AM22" s="79"/>
      <c r="AN22" s="79"/>
      <c r="AO22" s="79"/>
      <c r="AP22" s="79"/>
      <c r="AQ22" s="79"/>
      <c r="AR22" s="79"/>
      <c r="AS22" s="141"/>
      <c r="AT22" s="141"/>
      <c r="AU22" s="141"/>
      <c r="AV22" s="141"/>
      <c r="AW22" s="141"/>
      <c r="AX22" s="79"/>
      <c r="AY22" s="79"/>
      <c r="AZ22" s="79"/>
      <c r="BA22" s="79"/>
      <c r="BB22" s="79"/>
      <c r="BC22" s="79"/>
      <c r="BD22" s="162"/>
    </row>
    <row r="23" s="80" customFormat="1" spans="1:56">
      <c r="A23" s="80" t="s">
        <v>105</v>
      </c>
      <c r="AS23" s="142"/>
      <c r="AT23" s="142"/>
      <c r="AU23" s="142"/>
      <c r="AV23" s="142"/>
      <c r="AW23" s="142"/>
      <c r="BD23" s="163"/>
    </row>
    <row r="24" spans="1:56">
      <c r="A24" s="80" t="s">
        <v>106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142"/>
      <c r="AT24" s="142"/>
      <c r="AU24" s="142"/>
      <c r="AV24" s="142"/>
      <c r="AW24" s="142"/>
      <c r="AX24" s="80"/>
      <c r="AY24" s="80"/>
      <c r="AZ24" s="80"/>
      <c r="BA24" s="80"/>
      <c r="BB24" s="80"/>
      <c r="BC24" s="80"/>
      <c r="BD24" s="163"/>
    </row>
    <row r="25" spans="1:56">
      <c r="A25" s="80" t="s">
        <v>107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142"/>
      <c r="AT25" s="142"/>
      <c r="AU25" s="142"/>
      <c r="AV25" s="142"/>
      <c r="AW25" s="142"/>
      <c r="AX25" s="80"/>
      <c r="AY25" s="80"/>
      <c r="AZ25" s="80"/>
      <c r="BA25" s="80"/>
      <c r="BB25" s="80"/>
      <c r="BC25" s="80"/>
      <c r="BD25" s="163"/>
    </row>
    <row r="26" spans="1:1">
      <c r="A26" s="80" t="s">
        <v>108</v>
      </c>
    </row>
    <row r="28" spans="50:55">
      <c r="AX28" s="164"/>
      <c r="AY28" s="164"/>
      <c r="BC28" s="165"/>
    </row>
    <row r="29" spans="2:9">
      <c r="B29" s="119"/>
      <c r="C29" s="120"/>
      <c r="D29" s="120"/>
      <c r="E29" s="120"/>
      <c r="F29" s="120"/>
      <c r="G29" s="120"/>
      <c r="H29" s="120"/>
      <c r="I29" s="120"/>
    </row>
  </sheetData>
  <mergeCells count="55">
    <mergeCell ref="A2:G2"/>
    <mergeCell ref="L4:P4"/>
    <mergeCell ref="Q4:U4"/>
    <mergeCell ref="V4:Z4"/>
    <mergeCell ref="AA4:AC4"/>
    <mergeCell ref="AD4:AF4"/>
    <mergeCell ref="AG4:AK4"/>
    <mergeCell ref="AL4:AP4"/>
    <mergeCell ref="AQ4:AR4"/>
    <mergeCell ref="AS4:AW4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6:AY16"/>
    <mergeCell ref="AZ16:BA16"/>
    <mergeCell ref="AX17:AY17"/>
    <mergeCell ref="AZ17:BA17"/>
    <mergeCell ref="AX18:AY18"/>
    <mergeCell ref="AZ18:BA18"/>
    <mergeCell ref="AX19:AY19"/>
    <mergeCell ref="AZ19:BA19"/>
    <mergeCell ref="AX28:AY2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BB4:BB5"/>
    <mergeCell ref="BC4:BC5"/>
    <mergeCell ref="BD4:BD5"/>
    <mergeCell ref="AX4:AY5"/>
    <mergeCell ref="AZ4:BA5"/>
  </mergeCells>
  <conditionalFormatting sqref="H4:I4">
    <cfRule type="expression" dxfId="2" priority="1" stopIfTrue="1">
      <formula>AND(COUNTIF($J$4:$J$4,H4)&gt;1,NOT(ISBLANK(H4)))</formula>
    </cfRule>
  </conditionalFormatting>
  <conditionalFormatting sqref="J4">
    <cfRule type="duplicateValues" dxfId="3" priority="2" stopIfTrue="1"/>
  </conditionalFormatting>
  <conditionalFormatting sqref="K4:L4">
    <cfRule type="duplicateValues" dxfId="3" priority="3" stopIfTrue="1"/>
  </conditionalFormatting>
  <conditionalFormatting sqref="Q4">
    <cfRule type="duplicateValues" dxfId="3" priority="7" stopIfTrue="1"/>
  </conditionalFormatting>
  <conditionalFormatting sqref="V4">
    <cfRule type="duplicateValues" dxfId="3" priority="8" stopIfTrue="1"/>
  </conditionalFormatting>
  <conditionalFormatting sqref="AG4">
    <cfRule type="duplicateValues" dxfId="3" priority="9" stopIfTrue="1"/>
  </conditionalFormatting>
  <pageMargins left="0.697916666666667" right="0.69791666666666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1"/>
  <sheetViews>
    <sheetView topLeftCell="C1" workbookViewId="0">
      <selection activeCell="C27" sqref="C27"/>
    </sheetView>
  </sheetViews>
  <sheetFormatPr defaultColWidth="9" defaultRowHeight="13.5"/>
  <cols>
    <col min="2" max="2" width="13.625" customWidth="1"/>
    <col min="5" max="5" width="18" customWidth="1"/>
    <col min="7" max="7" width="12.75" customWidth="1"/>
    <col min="10" max="10" width="10.5" customWidth="1"/>
    <col min="30" max="30" width="10.375" customWidth="1"/>
    <col min="34" max="34" width="10.375" customWidth="1"/>
    <col min="36" max="36" width="10.375" customWidth="1"/>
    <col min="38" max="38" width="10.375" customWidth="1"/>
    <col min="41" max="41" width="19" customWidth="1"/>
    <col min="42" max="42" width="15" customWidth="1"/>
    <col min="43" max="43" width="20.375" customWidth="1"/>
  </cols>
  <sheetData>
    <row r="1" s="1" customFormat="1" ht="20.1" customHeight="1" spans="1:46">
      <c r="A1" s="5" t="s">
        <v>18</v>
      </c>
      <c r="B1" s="6" t="s">
        <v>109</v>
      </c>
      <c r="C1" s="7" t="s">
        <v>110</v>
      </c>
      <c r="D1" s="7" t="s">
        <v>111</v>
      </c>
      <c r="E1" s="8" t="s">
        <v>112</v>
      </c>
      <c r="F1" s="9" t="s">
        <v>113</v>
      </c>
      <c r="G1" s="8" t="s">
        <v>114</v>
      </c>
      <c r="H1" s="8" t="s">
        <v>115</v>
      </c>
      <c r="I1" s="8" t="s">
        <v>116</v>
      </c>
      <c r="J1" s="31" t="s">
        <v>117</v>
      </c>
      <c r="K1" s="8" t="s">
        <v>118</v>
      </c>
      <c r="L1" s="8" t="s">
        <v>119</v>
      </c>
      <c r="M1" s="32" t="s">
        <v>120</v>
      </c>
      <c r="N1" s="33"/>
      <c r="O1" s="33"/>
      <c r="P1" s="34"/>
      <c r="Q1" s="9" t="s">
        <v>121</v>
      </c>
      <c r="R1" s="8" t="s">
        <v>122</v>
      </c>
      <c r="S1" s="9" t="s">
        <v>123</v>
      </c>
      <c r="T1" s="43" t="s">
        <v>124</v>
      </c>
      <c r="U1" s="9" t="s">
        <v>125</v>
      </c>
      <c r="V1" s="44" t="s">
        <v>126</v>
      </c>
      <c r="W1" s="45"/>
      <c r="X1" s="45"/>
      <c r="Y1" s="45"/>
      <c r="Z1" s="45"/>
      <c r="AA1" s="52"/>
      <c r="AB1" s="9" t="s">
        <v>127</v>
      </c>
      <c r="AC1" s="9" t="s">
        <v>128</v>
      </c>
      <c r="AD1" s="43" t="s">
        <v>129</v>
      </c>
      <c r="AE1" s="43" t="s">
        <v>130</v>
      </c>
      <c r="AF1" s="43" t="s">
        <v>131</v>
      </c>
      <c r="AG1" s="43" t="s">
        <v>132</v>
      </c>
      <c r="AH1" s="58" t="s">
        <v>133</v>
      </c>
      <c r="AI1" s="59" t="s">
        <v>134</v>
      </c>
      <c r="AJ1" s="58" t="s">
        <v>135</v>
      </c>
      <c r="AK1" s="7" t="s">
        <v>60</v>
      </c>
      <c r="AL1" s="58" t="s">
        <v>136</v>
      </c>
      <c r="AM1" s="8" t="s">
        <v>137</v>
      </c>
      <c r="AN1" s="8" t="s">
        <v>138</v>
      </c>
      <c r="AO1" s="68" t="s">
        <v>139</v>
      </c>
      <c r="AP1" s="8" t="s">
        <v>140</v>
      </c>
      <c r="AQ1" s="8" t="s">
        <v>141</v>
      </c>
      <c r="AR1" s="9" t="s">
        <v>142</v>
      </c>
      <c r="AS1" s="9" t="s">
        <v>143</v>
      </c>
      <c r="AT1" s="9" t="s">
        <v>144</v>
      </c>
    </row>
    <row r="2" s="1" customFormat="1" ht="27" customHeight="1" spans="1:46">
      <c r="A2" s="10"/>
      <c r="B2" s="11"/>
      <c r="C2" s="12"/>
      <c r="D2" s="12"/>
      <c r="E2" s="13"/>
      <c r="F2" s="14"/>
      <c r="G2" s="13"/>
      <c r="H2" s="13"/>
      <c r="I2" s="13"/>
      <c r="J2" s="35"/>
      <c r="K2" s="13"/>
      <c r="L2" s="13"/>
      <c r="M2" s="36" t="s">
        <v>145</v>
      </c>
      <c r="N2" s="36" t="s">
        <v>146</v>
      </c>
      <c r="O2" s="36" t="s">
        <v>147</v>
      </c>
      <c r="P2" s="36" t="s">
        <v>73</v>
      </c>
      <c r="Q2" s="14"/>
      <c r="R2" s="13"/>
      <c r="S2" s="14"/>
      <c r="T2" s="46"/>
      <c r="U2" s="14"/>
      <c r="V2" s="47" t="s">
        <v>148</v>
      </c>
      <c r="W2" s="47" t="s">
        <v>149</v>
      </c>
      <c r="X2" s="47" t="s">
        <v>150</v>
      </c>
      <c r="Y2" s="47" t="s">
        <v>151</v>
      </c>
      <c r="Z2" s="47" t="s">
        <v>152</v>
      </c>
      <c r="AA2" s="47" t="s">
        <v>153</v>
      </c>
      <c r="AB2" s="14"/>
      <c r="AC2" s="14"/>
      <c r="AD2" s="46"/>
      <c r="AE2" s="46"/>
      <c r="AF2" s="46"/>
      <c r="AG2" s="46"/>
      <c r="AH2" s="60"/>
      <c r="AI2" s="61"/>
      <c r="AJ2" s="60"/>
      <c r="AK2" s="12"/>
      <c r="AL2" s="60"/>
      <c r="AM2" s="13"/>
      <c r="AN2" s="13"/>
      <c r="AO2" s="69"/>
      <c r="AP2" s="13"/>
      <c r="AQ2" s="13"/>
      <c r="AR2" s="14"/>
      <c r="AS2" s="14"/>
      <c r="AT2" s="14"/>
    </row>
    <row r="3" s="2" customFormat="1" ht="18" customHeight="1" spans="1:46">
      <c r="A3" s="15">
        <v>1</v>
      </c>
      <c r="B3" s="16" t="s">
        <v>154</v>
      </c>
      <c r="C3" s="16" t="s">
        <v>79</v>
      </c>
      <c r="D3" s="17" t="s">
        <v>155</v>
      </c>
      <c r="E3" s="16" t="s">
        <v>80</v>
      </c>
      <c r="F3" s="18" t="s">
        <v>156</v>
      </c>
      <c r="G3" s="271" t="s">
        <v>157</v>
      </c>
      <c r="H3" s="20"/>
      <c r="I3" s="20"/>
      <c r="J3" s="37">
        <v>41275</v>
      </c>
      <c r="K3" s="20"/>
      <c r="L3" s="38">
        <v>8910</v>
      </c>
      <c r="M3" s="38">
        <v>264</v>
      </c>
      <c r="N3" s="38">
        <v>9.9</v>
      </c>
      <c r="O3" s="38">
        <v>66</v>
      </c>
      <c r="P3" s="38">
        <v>180</v>
      </c>
      <c r="Q3" s="48">
        <f>ROUND(SUM(M3:P3),2)</f>
        <v>519.9</v>
      </c>
      <c r="R3" s="49">
        <v>0</v>
      </c>
      <c r="S3" s="50">
        <f>L3+IFERROR(VLOOKUP($E:$E,'[1]（居民）工资表-5月'!$E:$S,15,0),0)</f>
        <v>38230</v>
      </c>
      <c r="T3" s="51">
        <f>5000+IFERROR(VLOOKUP($E:$E,'[1]（居民）工资表-5月'!$E:$T,16,0),0)</f>
        <v>25000</v>
      </c>
      <c r="U3" s="51">
        <f>Q3+IFERROR(VLOOKUP($E:$E,'[1]（居民）工资表-5月'!$E:$U,17,0),0)</f>
        <v>2821.74</v>
      </c>
      <c r="V3" s="49"/>
      <c r="W3" s="49"/>
      <c r="X3" s="49"/>
      <c r="Y3" s="49"/>
      <c r="Z3" s="49"/>
      <c r="AA3" s="49"/>
      <c r="AB3" s="50">
        <f>ROUND(SUM(V3:AA3),2)</f>
        <v>0</v>
      </c>
      <c r="AC3" s="50">
        <f>R3+IFERROR(VLOOKUP($E:$E,'[1]（居民）工资表-5月'!$E:$AC,25,0),0)</f>
        <v>0</v>
      </c>
      <c r="AD3" s="53">
        <f>ROUND(S3-T3-U3-AB3-AC3,2)</f>
        <v>10408.26</v>
      </c>
      <c r="AE3" s="54">
        <f>ROUND(MAX((AD3)*{0.03;0.1;0.2;0.25;0.3;0.35;0.45}-{0;2520;16920;31920;52920;85920;181920},0),2)</f>
        <v>312.25</v>
      </c>
      <c r="AF3" s="55">
        <f>IFERROR(VLOOKUP(E:E,'[1]（居民）工资表-5月'!E:AF,28,0)+VLOOKUP(E:E,'[1]（居民）工资表-5月'!E:AG,29,0),0)</f>
        <v>210.54</v>
      </c>
      <c r="AG3" s="55">
        <f>IF((AE3-AF3)&lt;0,0,AE3-AF3)</f>
        <v>101.71</v>
      </c>
      <c r="AH3" s="62">
        <f>ROUND(IF((L3-Q3-AG3)&lt;0,0,(L3-Q3-AG3)),2)</f>
        <v>8288.39</v>
      </c>
      <c r="AI3" s="63"/>
      <c r="AJ3" s="62">
        <f>AH3+AI3</f>
        <v>8288.39</v>
      </c>
      <c r="AK3" s="64"/>
      <c r="AL3" s="62">
        <f>AJ3+AG3+AK3</f>
        <v>8390.1</v>
      </c>
      <c r="AM3" s="62"/>
      <c r="AN3" s="62"/>
      <c r="AO3" s="70"/>
      <c r="AP3" s="62"/>
      <c r="AQ3" s="62"/>
      <c r="AR3" s="71" t="str">
        <f t="shared" ref="AR3:AR5" si="0">IF(LEN(E3)=18,IF(RIGHT(E3,1)="X",IF(CHOOSE(MOD(SUM(LEFT(RIGHT(E3,18))*7+LEFT(RIGHT(E3,17))*9+LEFT(RIGHT(E3,16))*10+LEFT(RIGHT(E3,15))*5+LEFT(RIGHT(E3,14))*8+LEFT(RIGHT(E3,13))*4+LEFT(RIGHT(E3,12))*2+LEFT(RIGHT(E3,11))*1+LEFT(RIGHT(E3,10))*6+LEFT(RIGHT(E3,9))*3+LEFT(RIGHT(E3,8))*7+LEFT(RIGHT(E3,7))*9+LEFT(RIGHT(E3,6))*10+LEFT(RIGHT(E3,5))*5+LEFT(RIGHT(E3,4))*8+LEFT(RIGHT(E3,3))*4+LEFT(RIGHT(E3,2))*2),11)+1,1,0,"X",9,8,7,6,5,4,3,2)=LEFT(RIGHT(E3,1)),"正确","错误"),IF(CHOOSE(MOD(SUM(LEFT(RIGHT(E3,18))*7+LEFT(RIGHT(E3,17))*9+LEFT(RIGHT(E3,16))*10+LEFT(RIGHT(E3,15))*5+LEFT(RIGHT(E3,14))*8+LEFT(RIGHT(E3,13))*4+LEFT(RIGHT(E3,12))*2+LEFT(RIGHT(E3,11))*1+LEFT(RIGHT(E3,10))*6+LEFT(RIGHT(E3,9))*3+LEFT(RIGHT(E3,8))*7+LEFT(RIGHT(E3,7))*9+LEFT(RIGHT(E3,6))*10+LEFT(RIGHT(E3,5))*5+LEFT(RIGHT(E3,4))*8+LEFT(RIGHT(E3,3))*4+LEFT(RIGHT(E3,2))*2),11)+1,1,0,"X",9,8,7,6,5,4,3,2)=LEFT(RIGHT(E3,1))*1,"正确","错误")),IF(LEN(E3)=15,"老号，请注意！",IF(LEN(E3)=0,"未填写身份证号码","位数不对！")))</f>
        <v>正确</v>
      </c>
      <c r="AS3" s="71" t="str">
        <f>IF(SUMPRODUCT(N(E$1:E$6=E3))&gt;1,"重复","不")</f>
        <v>不</v>
      </c>
      <c r="AT3" s="71" t="str">
        <f>IF(SUMPRODUCT(N(AO$1:AO$6=AO3))&gt;1,"重复","不")</f>
        <v>重复</v>
      </c>
    </row>
    <row r="4" s="2" customFormat="1" ht="18" customHeight="1" spans="1:46">
      <c r="A4" s="15">
        <v>2</v>
      </c>
      <c r="B4" s="16" t="s">
        <v>154</v>
      </c>
      <c r="C4" s="16" t="s">
        <v>88</v>
      </c>
      <c r="D4" s="17" t="s">
        <v>155</v>
      </c>
      <c r="E4" s="16" t="s">
        <v>89</v>
      </c>
      <c r="F4" s="18" t="s">
        <v>158</v>
      </c>
      <c r="G4" s="271" t="s">
        <v>159</v>
      </c>
      <c r="H4" s="20"/>
      <c r="I4" s="20"/>
      <c r="J4" s="37">
        <v>41883</v>
      </c>
      <c r="K4" s="20"/>
      <c r="L4" s="38">
        <v>5800</v>
      </c>
      <c r="M4" s="38">
        <v>277.52</v>
      </c>
      <c r="N4" s="38">
        <v>6</v>
      </c>
      <c r="O4" s="38">
        <v>98.62</v>
      </c>
      <c r="P4" s="38">
        <v>0</v>
      </c>
      <c r="Q4" s="48">
        <f t="shared" ref="Q4:Q5" si="1">ROUND(SUM(M4:P4),2)</f>
        <v>382.14</v>
      </c>
      <c r="R4" s="49">
        <v>0</v>
      </c>
      <c r="S4" s="50">
        <f>L4+IFERROR(VLOOKUP($E:$E,'[1]（居民）工资表-5月'!$E:$S,15,0),0)</f>
        <v>29838.7272727273</v>
      </c>
      <c r="T4" s="51">
        <f>5000+IFERROR(VLOOKUP($E:$E,'[1]（居民）工资表-5月'!$E:$T,16,0),0)</f>
        <v>25000</v>
      </c>
      <c r="U4" s="51">
        <f>Q4+IFERROR(VLOOKUP($E:$E,'[1]（居民）工资表-5月'!$E:$U,17,0),0)</f>
        <v>3129.56</v>
      </c>
      <c r="V4" s="49"/>
      <c r="W4" s="49"/>
      <c r="X4" s="49"/>
      <c r="Y4" s="49"/>
      <c r="Z4" s="49"/>
      <c r="AA4" s="49"/>
      <c r="AB4" s="50">
        <f t="shared" ref="AB4:AB5" si="2">ROUND(SUM(V4:AA4),2)</f>
        <v>0</v>
      </c>
      <c r="AC4" s="50">
        <f>R4+IFERROR(VLOOKUP($E:$E,'[1]（居民）工资表-5月'!$E:$AC,25,0),0)</f>
        <v>0</v>
      </c>
      <c r="AD4" s="53">
        <f t="shared" ref="AD4:AD5" si="3">ROUND(S4-T4-U4-AB4-AC4,2)</f>
        <v>1709.17</v>
      </c>
      <c r="AE4" s="54">
        <f>ROUND(MAX((AD4)*{0.03;0.1;0.2;0.25;0.3;0.35;0.45}-{0;2520;16920;31920;52920;85920;181920},0),2)</f>
        <v>51.28</v>
      </c>
      <c r="AF4" s="55">
        <f>IFERROR(VLOOKUP(E:E,'[1]（居民）工资表-5月'!E:AF,28,0)+VLOOKUP(E:E,'[1]（居民）工资表-5月'!E:AG,29,0),0)</f>
        <v>52.37</v>
      </c>
      <c r="AG4" s="55">
        <f t="shared" ref="AG4:AG5" si="4">IF((AE4-AF4)&lt;0,0,AE4-AF4)</f>
        <v>0</v>
      </c>
      <c r="AH4" s="62">
        <f t="shared" ref="AH4:AH5" si="5">ROUND(IF((L4-Q4-AG4)&lt;0,0,(L4-Q4-AG4)),2)</f>
        <v>5417.86</v>
      </c>
      <c r="AI4" s="63"/>
      <c r="AJ4" s="62">
        <f t="shared" ref="AJ4:AJ5" si="6">AH4+AI4</f>
        <v>5417.86</v>
      </c>
      <c r="AK4" s="64"/>
      <c r="AL4" s="62">
        <f t="shared" ref="AL4:AL5" si="7">AJ4+AG4+AK4</f>
        <v>5417.86</v>
      </c>
      <c r="AM4" s="62"/>
      <c r="AN4" s="62"/>
      <c r="AO4" s="70"/>
      <c r="AP4" s="62"/>
      <c r="AQ4" s="62"/>
      <c r="AR4" s="71" t="str">
        <f t="shared" si="0"/>
        <v>正确</v>
      </c>
      <c r="AS4" s="71" t="str">
        <f>IF(SUMPRODUCT(N(E$1:E$6=E4))&gt;1,"重复","不")</f>
        <v>不</v>
      </c>
      <c r="AT4" s="71" t="str">
        <f>IF(SUMPRODUCT(N(AO$1:AO$6=AO4))&gt;1,"重复","不")</f>
        <v>重复</v>
      </c>
    </row>
    <row r="5" s="2" customFormat="1" ht="18" customHeight="1" spans="1:46">
      <c r="A5" s="15">
        <v>3</v>
      </c>
      <c r="B5" s="16" t="s">
        <v>154</v>
      </c>
      <c r="C5" s="16" t="s">
        <v>94</v>
      </c>
      <c r="D5" s="17" t="s">
        <v>155</v>
      </c>
      <c r="E5" s="16" t="s">
        <v>95</v>
      </c>
      <c r="F5" s="18" t="s">
        <v>156</v>
      </c>
      <c r="G5" s="271" t="s">
        <v>160</v>
      </c>
      <c r="H5" s="20"/>
      <c r="I5" s="20"/>
      <c r="J5" s="37">
        <v>43332</v>
      </c>
      <c r="K5" s="20"/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48">
        <f t="shared" si="1"/>
        <v>0</v>
      </c>
      <c r="R5" s="49">
        <v>0</v>
      </c>
      <c r="S5" s="50">
        <f>L5+IFERROR(VLOOKUP($E:$E,'[1]（居民）工资表-5月'!$E:$S,15,0),0)</f>
        <v>15892</v>
      </c>
      <c r="T5" s="51">
        <f>5000+IFERROR(VLOOKUP($E:$E,'[1]（居民）工资表-5月'!$E:$T,16,0),0)</f>
        <v>25000</v>
      </c>
      <c r="U5" s="51">
        <f>Q5+IFERROR(VLOOKUP($E:$E,'[1]（居民）工资表-5月'!$E:$U,17,0),0)</f>
        <v>1042</v>
      </c>
      <c r="V5" s="49"/>
      <c r="W5" s="49"/>
      <c r="X5" s="49"/>
      <c r="Y5" s="49"/>
      <c r="Z5" s="49"/>
      <c r="AA5" s="49"/>
      <c r="AB5" s="50">
        <f t="shared" si="2"/>
        <v>0</v>
      </c>
      <c r="AC5" s="50">
        <f>R5+IFERROR(VLOOKUP($E:$E,'[1]（居民）工资表-5月'!$E:$AC,25,0),0)</f>
        <v>0</v>
      </c>
      <c r="AD5" s="53">
        <f t="shared" si="3"/>
        <v>-10150</v>
      </c>
      <c r="AE5" s="54">
        <f>ROUND(MAX((AD5)*{0.03;0.1;0.2;0.25;0.3;0.35;0.45}-{0;2520;16920;31920;52920;85920;181920},0),2)</f>
        <v>0</v>
      </c>
      <c r="AF5" s="55">
        <f>IFERROR(VLOOKUP(E:E,'[1]（居民）工资表-5月'!E:AF,28,0)+VLOOKUP(E:E,'[1]（居民）工资表-5月'!E:AG,29,0),0)</f>
        <v>145.5</v>
      </c>
      <c r="AG5" s="55">
        <f t="shared" si="4"/>
        <v>0</v>
      </c>
      <c r="AH5" s="62">
        <f t="shared" si="5"/>
        <v>0</v>
      </c>
      <c r="AI5" s="63"/>
      <c r="AJ5" s="62">
        <f t="shared" si="6"/>
        <v>0</v>
      </c>
      <c r="AK5" s="64"/>
      <c r="AL5" s="62">
        <f t="shared" si="7"/>
        <v>0</v>
      </c>
      <c r="AM5" s="62"/>
      <c r="AN5" s="62"/>
      <c r="AO5" s="70"/>
      <c r="AP5" s="62"/>
      <c r="AQ5" s="62"/>
      <c r="AR5" s="71" t="str">
        <f t="shared" si="0"/>
        <v>正确</v>
      </c>
      <c r="AS5" s="71" t="str">
        <f>IF(SUMPRODUCT(N(E$1:E$6=E5))&gt;1,"重复","不")</f>
        <v>不</v>
      </c>
      <c r="AT5" s="71" t="str">
        <f>IF(SUMPRODUCT(N(AO$1:AO$6=AO5))&gt;1,"重复","不")</f>
        <v>重复</v>
      </c>
    </row>
    <row r="6" s="3" customFormat="1" ht="18" customHeight="1" spans="1:46">
      <c r="A6" s="21"/>
      <c r="B6" s="22" t="s">
        <v>161</v>
      </c>
      <c r="C6" s="22"/>
      <c r="D6" s="23"/>
      <c r="E6" s="24"/>
      <c r="F6" s="25"/>
      <c r="G6" s="26"/>
      <c r="H6" s="25"/>
      <c r="I6" s="39"/>
      <c r="J6" s="40"/>
      <c r="K6" s="39"/>
      <c r="L6" s="41">
        <f t="shared" ref="L6:AL6" si="8">SUM(L3:L5)</f>
        <v>14710</v>
      </c>
      <c r="M6" s="41">
        <f t="shared" si="8"/>
        <v>541.52</v>
      </c>
      <c r="N6" s="41">
        <f t="shared" si="8"/>
        <v>15.9</v>
      </c>
      <c r="O6" s="41">
        <f t="shared" si="8"/>
        <v>164.62</v>
      </c>
      <c r="P6" s="41">
        <f t="shared" si="8"/>
        <v>180</v>
      </c>
      <c r="Q6" s="41">
        <f t="shared" si="8"/>
        <v>902.04</v>
      </c>
      <c r="R6" s="41">
        <f t="shared" si="8"/>
        <v>0</v>
      </c>
      <c r="S6" s="41">
        <f t="shared" si="8"/>
        <v>83960.7272727273</v>
      </c>
      <c r="T6" s="41">
        <f t="shared" si="8"/>
        <v>75000</v>
      </c>
      <c r="U6" s="41">
        <f t="shared" si="8"/>
        <v>6993.3</v>
      </c>
      <c r="V6" s="41">
        <f t="shared" si="8"/>
        <v>0</v>
      </c>
      <c r="W6" s="41">
        <f t="shared" si="8"/>
        <v>0</v>
      </c>
      <c r="X6" s="41">
        <f t="shared" si="8"/>
        <v>0</v>
      </c>
      <c r="Y6" s="41">
        <f t="shared" si="8"/>
        <v>0</v>
      </c>
      <c r="Z6" s="41">
        <f t="shared" si="8"/>
        <v>0</v>
      </c>
      <c r="AA6" s="41">
        <f t="shared" si="8"/>
        <v>0</v>
      </c>
      <c r="AB6" s="41">
        <f t="shared" si="8"/>
        <v>0</v>
      </c>
      <c r="AC6" s="41">
        <f t="shared" si="8"/>
        <v>0</v>
      </c>
      <c r="AD6" s="41">
        <f t="shared" si="8"/>
        <v>1967.43</v>
      </c>
      <c r="AE6" s="41">
        <f t="shared" si="8"/>
        <v>363.53</v>
      </c>
      <c r="AF6" s="41">
        <f t="shared" si="8"/>
        <v>408.41</v>
      </c>
      <c r="AG6" s="41">
        <f t="shared" si="8"/>
        <v>101.71</v>
      </c>
      <c r="AH6" s="41">
        <f t="shared" si="8"/>
        <v>13706.25</v>
      </c>
      <c r="AI6" s="65">
        <f t="shared" si="8"/>
        <v>0</v>
      </c>
      <c r="AJ6" s="41">
        <f t="shared" si="8"/>
        <v>13706.25</v>
      </c>
      <c r="AK6" s="41">
        <f t="shared" si="8"/>
        <v>0</v>
      </c>
      <c r="AL6" s="41">
        <f t="shared" si="8"/>
        <v>13807.96</v>
      </c>
      <c r="AM6" s="66"/>
      <c r="AN6" s="66"/>
      <c r="AO6" s="66"/>
      <c r="AP6" s="66"/>
      <c r="AQ6" s="66"/>
      <c r="AR6" s="25"/>
      <c r="AS6" s="25"/>
      <c r="AT6" s="72"/>
    </row>
    <row r="7" s="4" customFormat="1" spans="5:35">
      <c r="E7" s="27"/>
      <c r="G7" s="28"/>
      <c r="J7" s="42"/>
      <c r="AI7" s="67"/>
    </row>
    <row r="8" s="4" customFormat="1" spans="5:35">
      <c r="E8" s="27"/>
      <c r="G8" s="28"/>
      <c r="J8" s="42"/>
      <c r="AI8" s="67"/>
    </row>
    <row r="9" s="4" customFormat="1" spans="5:35">
      <c r="E9" s="27"/>
      <c r="G9" s="28"/>
      <c r="J9" s="42"/>
      <c r="AD9" s="56"/>
      <c r="AI9" s="67"/>
    </row>
    <row r="10" s="4" customFormat="1" ht="18.75" customHeight="1" spans="2:35">
      <c r="B10" s="29" t="s">
        <v>135</v>
      </c>
      <c r="C10" s="29" t="s">
        <v>162</v>
      </c>
      <c r="D10" s="29" t="s">
        <v>60</v>
      </c>
      <c r="E10" s="29" t="s">
        <v>61</v>
      </c>
      <c r="G10" s="28"/>
      <c r="J10" s="42"/>
      <c r="AD10" s="57"/>
      <c r="AI10" s="67"/>
    </row>
    <row r="11" s="4" customFormat="1" ht="18.75" customHeight="1" spans="2:35">
      <c r="B11" s="30">
        <f>AJ6</f>
        <v>13706.25</v>
      </c>
      <c r="C11" s="30">
        <f>AG6</f>
        <v>101.71</v>
      </c>
      <c r="D11" s="30">
        <f>AK6</f>
        <v>0</v>
      </c>
      <c r="E11" s="30">
        <f>B11+C11+D11</f>
        <v>13807.96</v>
      </c>
      <c r="G11" s="28"/>
      <c r="J11" s="42"/>
      <c r="AI11" s="67"/>
    </row>
  </sheetData>
  <mergeCells count="38">
    <mergeCell ref="M1:P1"/>
    <mergeCell ref="V1:AA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Q1:Q2"/>
    <mergeCell ref="R1:R2"/>
    <mergeCell ref="S1:S2"/>
    <mergeCell ref="T1:T2"/>
    <mergeCell ref="U1:U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</mergeCells>
  <conditionalFormatting sqref="C10:C11">
    <cfRule type="duplicateValues" dxfId="4" priority="1" stopIfTrue="1"/>
    <cfRule type="expression" dxfId="5" priority="2" stopIfTrue="1">
      <formula>AND(COUNTIF($B$7:$B$65443,C10)+COUNTIF($B$1:$B$3,C10)&gt;1,NOT(ISBLANK(C10)))</formula>
    </cfRule>
    <cfRule type="expression" dxfId="5" priority="3" stopIfTrue="1">
      <formula>AND(COUNTIF($B$18:$B$65394,C10)+COUNTIF($B$1:$B$17,C10)&gt;1,NOT(ISBLANK(C10)))</formula>
    </cfRule>
    <cfRule type="expression" dxfId="5" priority="4" stopIfTrue="1">
      <formula>AND(COUNTIF($B$7:$B$65432,C10)+COUNTIF($B$1:$B$3,C10)&gt;1,NOT(ISBLANK(C10)))</formula>
    </cfRule>
  </conditionalFormatting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付款通知</vt:lpstr>
      <vt:lpstr>客户账单</vt:lpstr>
      <vt:lpstr>工资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elier</dc:creator>
  <cp:lastModifiedBy>杨霞</cp:lastModifiedBy>
  <dcterms:created xsi:type="dcterms:W3CDTF">2014-06-09T02:42:00Z</dcterms:created>
  <dcterms:modified xsi:type="dcterms:W3CDTF">2020-06-01T02:33:05Z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