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1" activeTab="4"/>
  </bookViews>
  <sheets>
    <sheet name="（居民）工资表-1月" sheetId="1" r:id="rId1"/>
    <sheet name="（居民）工资表-2月" sheetId="15" r:id="rId2"/>
    <sheet name="（居民）工资表-3月" sheetId="16" r:id="rId3"/>
    <sheet name="（居民）工资表-4月" sheetId="17" r:id="rId4"/>
    <sheet name="（居民）工资表-5月" sheetId="18" r:id="rId5"/>
    <sheet name="（居民）工资表-6月" sheetId="19" r:id="rId6"/>
    <sheet name="（居民）工资表-7月" sheetId="20" r:id="rId7"/>
    <sheet name="（居民）工资表-8月" sheetId="21" r:id="rId8"/>
    <sheet name="（居民）工资表-9月" sheetId="22" r:id="rId9"/>
    <sheet name="（居民）工资表-10月" sheetId="23" r:id="rId10"/>
    <sheet name="（居民）工资表-11月" sheetId="24" r:id="rId11"/>
    <sheet name="（居民）工资表-12月" sheetId="25" r:id="rId12"/>
    <sheet name="Sheet1" sheetId="14" r:id="rId13"/>
  </sheets>
  <definedNames>
    <definedName name="_xlnm._FilterDatabase" localSheetId="0" hidden="1">'（居民）工资表-1月'!$A$3:$AT$11</definedName>
    <definedName name="_xlnm._FilterDatabase" localSheetId="1" hidden="1">'（居民）工资表-2月'!$A$3:$AT$8</definedName>
    <definedName name="_xlnm._FilterDatabase" localSheetId="2" hidden="1">'（居民）工资表-3月'!$A$3:$AT$8</definedName>
    <definedName name="_xlnm._FilterDatabase" localSheetId="3" hidden="1">'（居民）工资表-4月'!$A$3:$AT$8</definedName>
    <definedName name="_xlnm._FilterDatabase" localSheetId="4" hidden="1">'（居民）工资表-5月'!$A$3:$AT$7</definedName>
    <definedName name="_xlnm._FilterDatabase" localSheetId="5" hidden="1">'（居民）工资表-6月'!$A$3:$AT$24</definedName>
    <definedName name="_xlnm._FilterDatabase" localSheetId="6" hidden="1">'（居民）工资表-7月'!$A$3:$AT$24</definedName>
    <definedName name="_xlnm._FilterDatabase" localSheetId="7" hidden="1">'（居民）工资表-8月'!$A$3:$AT$24</definedName>
    <definedName name="_xlnm._FilterDatabase" localSheetId="8" hidden="1">'（居民）工资表-9月'!$A$3:$AT$24</definedName>
    <definedName name="_xlnm._FilterDatabase" localSheetId="9" hidden="1">'（居民）工资表-10月'!$A$3:$AT$24</definedName>
    <definedName name="_xlnm._FilterDatabase" localSheetId="10" hidden="1">'（居民）工资表-11月'!$A$3:$AT$24</definedName>
    <definedName name="_xlnm._FilterDatabase" localSheetId="11" hidden="1">'（居民）工资表-12月'!$A$3:$AT$24</definedName>
    <definedName name="_xlnm.Print_Area" localSheetId="9">'（居民）工资表-10月'!$A$1:$AT$30</definedName>
    <definedName name="_xlnm.Print_Area" localSheetId="10">'（居民）工资表-11月'!$A$1:$AT$30</definedName>
    <definedName name="_xlnm.Print_Area" localSheetId="11">'（居民）工资表-12月'!$A$1:$AT$30</definedName>
    <definedName name="_xlnm.Print_Area" localSheetId="0">'（居民）工资表-1月'!$A$1:$AT$17</definedName>
    <definedName name="_xlnm.Print_Area" localSheetId="1">'（居民）工资表-2月'!$A$1:$AT$14</definedName>
    <definedName name="_xlnm.Print_Area" localSheetId="2">'（居民）工资表-3月'!$A$1:$AT$14</definedName>
    <definedName name="_xlnm.Print_Area" localSheetId="3">'（居民）工资表-4月'!$A$1:$AT$14</definedName>
    <definedName name="_xlnm.Print_Area" localSheetId="4">'（居民）工资表-5月'!$A$1:$AT$13</definedName>
    <definedName name="_xlnm.Print_Area" localSheetId="5">'（居民）工资表-6月'!$A$1:$AT$30</definedName>
    <definedName name="_xlnm.Print_Area" localSheetId="6">'（居民）工资表-7月'!$A$1:$AT$30</definedName>
    <definedName name="_xlnm.Print_Area" localSheetId="7">'（居民）工资表-8月'!$A$1:$AT$30</definedName>
    <definedName name="_xlnm.Print_Area" localSheetId="8">'（居民）工资表-9月'!$A$1:$AT$30</definedName>
  </definedNames>
  <calcPr calcId="144525"/>
</workbook>
</file>

<file path=xl/comments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<sst xmlns="http://schemas.openxmlformats.org/spreadsheetml/2006/main" count="1328" uniqueCount="124">
  <si>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</si>
  <si>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</si>
  <si>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</si>
  <si>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</si>
  <si>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</si>
  <si>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</si>
  <si>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</si>
  <si>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</si>
  <si>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</si>
  <si>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</si>
  <si>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</si>
  <si>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</si>
  <si>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</si>
  <si>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</si>
  <si>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</si>
  <si>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</si>
  <si>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</si>
  <si>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</si>
  <si>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</si>
  <si>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</si>
  <si>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</si>
  <si>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</si>
  <si>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</si>
  <si>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</si>
  <si>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</si>
  <si>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</si>
  <si>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</si>
  <si>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</si>
  <si>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</si>
  <si>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</si>
  <si>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</si>
  <si>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</si>
  <si>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</si>
  <si>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</si>
  <si>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</si>
  <si>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</si>
  <si>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</si>
  <si>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</si>
  <si>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</si>
  <si>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</si>
  <si>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</si>
  <si>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</si>
  <si>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</si>
  <si>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</si>
  <si>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</si>
  <si>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</si>
  <si>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</si>
  <si>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</si>
  <si>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</si>
  <si>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</si>
  <si>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</t>
  </si>
  <si>
    <t>柳欣</t>
  </si>
  <si>
    <t>身份证</t>
  </si>
  <si>
    <t>15010519830618871X</t>
  </si>
  <si>
    <t>男</t>
  </si>
  <si>
    <t>贾晓东</t>
  </si>
  <si>
    <t>15252819881208003X</t>
  </si>
  <si>
    <t>王龙龙</t>
  </si>
  <si>
    <t>150121198810292057</t>
  </si>
  <si>
    <t> 张珍宇</t>
  </si>
  <si>
    <t>152629199203213016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</si>
  <si>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</si>
  <si>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</si>
  <si>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</si>
  <si>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</si>
  <si>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</si>
  <si>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</si>
  <si>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</si>
  <si>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</si>
  <si>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</si>
  <si>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</si>
  <si>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</si>
  <si>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</si>
  <si>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</si>
  <si>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XX公司</t>
  </si>
  <si>
    <t>411324199504212820</t>
  </si>
  <si>
    <t>220221199007200094</t>
  </si>
  <si>
    <t>411224197103091429</t>
  </si>
  <si>
    <t>142625199110093943</t>
  </si>
  <si>
    <t>14262519910503392X</t>
  </si>
  <si>
    <t>130681199505252811</t>
  </si>
  <si>
    <t>142326199103087334</t>
  </si>
  <si>
    <t>131022198910072017</t>
  </si>
  <si>
    <t>110106199703296320</t>
  </si>
  <si>
    <t>140121199705148224</t>
  </si>
  <si>
    <t>222601200102132811</t>
  </si>
  <si>
    <t>220122199202174654</t>
  </si>
  <si>
    <t>372930198707283710</t>
  </si>
  <si>
    <t>21120219961028451x</t>
  </si>
  <si>
    <t>13053319870424141X</t>
  </si>
  <si>
    <t>110106196306231511</t>
  </si>
  <si>
    <t>130821199502194219</t>
  </si>
  <si>
    <t>13072219990325632x</t>
  </si>
  <si>
    <t>130726198312042822</t>
  </si>
  <si>
    <t>110108199706205431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</si>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</sst>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#,##0_);[Red]\(#,##0\)"/>
    <numFmt numFmtId="179" formatCode="#,##0.00_);[Red]\(#,##0.00\)"/>
    <numFmt numFmtId="180" formatCode="0_);[Red]\(0\)"/>
  </numFmts>
  <fonts count="7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sz val="10"/>
      <name val="Geneva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0"/>
      <name val="Helv"/>
      <charset val="134"/>
    </font>
    <font>
      <sz val="11"/>
      <color indexed="20"/>
      <name val="宋体"/>
      <charset val="134"/>
    </font>
    <font>
      <sz val="12"/>
      <name val="Times New Roman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8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9" fillId="21" borderId="17" applyNumberForma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34" fillId="6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/>
    <xf numFmtId="0" fontId="41" fillId="2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2" borderId="22" applyNumberFormat="0" applyFont="0" applyAlignment="0" applyProtection="0">
      <alignment vertical="center"/>
    </xf>
    <xf numFmtId="0" fontId="6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31" fillId="0" borderId="0"/>
    <xf numFmtId="0" fontId="53" fillId="0" borderId="20" applyNumberFormat="0" applyFill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45" fillId="26" borderId="19" applyNumberFormat="0" applyAlignment="0" applyProtection="0">
      <alignment vertical="center"/>
    </xf>
    <xf numFmtId="0" fontId="52" fillId="26" borderId="17" applyNumberFormat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7" fillId="30" borderId="21" applyNumberFormat="0" applyAlignment="0" applyProtection="0">
      <alignment vertical="center"/>
    </xf>
    <xf numFmtId="0" fontId="28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8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54" fillId="36" borderId="24" applyNumberFormat="0" applyAlignment="0" applyProtection="0">
      <alignment vertical="center"/>
    </xf>
    <xf numFmtId="0" fontId="28" fillId="0" borderId="0"/>
    <xf numFmtId="0" fontId="40" fillId="37" borderId="0" applyNumberFormat="0" applyBorder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0" borderId="0"/>
    <xf numFmtId="0" fontId="27" fillId="39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0" fillId="0" borderId="0"/>
    <xf numFmtId="0" fontId="59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0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0" borderId="0"/>
    <xf numFmtId="0" fontId="6" fillId="1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0" borderId="0"/>
    <xf numFmtId="0" fontId="6" fillId="0" borderId="0"/>
    <xf numFmtId="0" fontId="6" fillId="13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58" fillId="27" borderId="15" applyNumberFormat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8" fillId="0" borderId="0"/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54" fillId="36" borderId="24" applyNumberFormat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4" fillId="36" borderId="24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8" fillId="27" borderId="15" applyNumberFormat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8" fillId="27" borderId="15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6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177" fontId="6" fillId="0" borderId="0">
      <alignment vertical="center"/>
    </xf>
    <xf numFmtId="0" fontId="61" fillId="19" borderId="0" applyNumberFormat="0" applyBorder="0" applyAlignment="0" applyProtection="0">
      <alignment vertical="center"/>
    </xf>
    <xf numFmtId="9" fontId="6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5" fillId="0" borderId="26" applyNumberFormat="0" applyFill="0" applyAlignment="0" applyProtection="0">
      <alignment vertical="center"/>
    </xf>
    <xf numFmtId="0" fontId="65" fillId="0" borderId="26" applyNumberFormat="0" applyFill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5" fillId="0" borderId="26" applyNumberFormat="0" applyFill="0" applyAlignment="0" applyProtection="0">
      <alignment vertical="center"/>
    </xf>
    <xf numFmtId="0" fontId="65" fillId="0" borderId="26" applyNumberFormat="0" applyFill="0" applyAlignment="0" applyProtection="0">
      <alignment vertical="center"/>
    </xf>
    <xf numFmtId="0" fontId="6" fillId="0" borderId="0">
      <alignment vertical="center"/>
    </xf>
    <xf numFmtId="0" fontId="65" fillId="0" borderId="26" applyNumberFormat="0" applyFill="0" applyAlignment="0" applyProtection="0">
      <alignment vertical="center"/>
    </xf>
    <xf numFmtId="0" fontId="65" fillId="0" borderId="26" applyNumberFormat="0" applyFill="0" applyAlignment="0" applyProtection="0">
      <alignment vertical="center"/>
    </xf>
    <xf numFmtId="0" fontId="65" fillId="0" borderId="26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60" fillId="0" borderId="0"/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7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58" fillId="27" borderId="15" applyNumberFormat="0" applyAlignment="0" applyProtection="0">
      <alignment vertical="center"/>
    </xf>
    <xf numFmtId="0" fontId="14" fillId="0" borderId="0">
      <alignment vertical="center"/>
    </xf>
    <xf numFmtId="0" fontId="58" fillId="27" borderId="15" applyNumberFormat="0" applyAlignment="0" applyProtection="0">
      <alignment vertical="center"/>
    </xf>
    <xf numFmtId="0" fontId="28" fillId="0" borderId="0">
      <alignment vertical="center"/>
    </xf>
    <xf numFmtId="0" fontId="15" fillId="0" borderId="0">
      <alignment vertical="center"/>
    </xf>
    <xf numFmtId="0" fontId="6" fillId="0" borderId="0"/>
    <xf numFmtId="0" fontId="58" fillId="27" borderId="15" applyNumberFormat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29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6" fillId="0" borderId="0"/>
    <xf numFmtId="0" fontId="29" fillId="18" borderId="0" applyNumberFormat="0" applyBorder="0" applyAlignment="0" applyProtection="0">
      <alignment vertical="center"/>
    </xf>
    <xf numFmtId="0" fontId="28" fillId="0" borderId="0"/>
    <xf numFmtId="0" fontId="29" fillId="18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6" fillId="0" borderId="0">
      <alignment vertical="center"/>
    </xf>
    <xf numFmtId="0" fontId="56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58" fillId="27" borderId="15" applyNumberFormat="0" applyAlignment="0" applyProtection="0">
      <alignment vertical="center"/>
    </xf>
    <xf numFmtId="0" fontId="6" fillId="0" borderId="0">
      <alignment vertical="center"/>
    </xf>
    <xf numFmtId="0" fontId="28" fillId="0" borderId="0"/>
    <xf numFmtId="0" fontId="29" fillId="5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6" fillId="9" borderId="12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0" fillId="0" borderId="0"/>
    <xf numFmtId="0" fontId="59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54" fillId="36" borderId="24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54" fillId="36" borderId="24" applyNumberFormat="0" applyAlignment="0" applyProtection="0">
      <alignment vertical="center"/>
    </xf>
    <xf numFmtId="0" fontId="54" fillId="36" borderId="24" applyNumberFormat="0" applyAlignment="0" applyProtection="0">
      <alignment vertical="center"/>
    </xf>
    <xf numFmtId="0" fontId="54" fillId="36" borderId="2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8" fillId="27" borderId="15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8" fillId="27" borderId="15" applyNumberForma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31" fillId="0" borderId="0"/>
    <xf numFmtId="0" fontId="58" fillId="27" borderId="15" applyNumberFormat="0" applyAlignment="0" applyProtection="0">
      <alignment vertical="center"/>
    </xf>
    <xf numFmtId="0" fontId="31" fillId="0" borderId="0"/>
    <xf numFmtId="0" fontId="58" fillId="27" borderId="15" applyNumberFormat="0" applyAlignment="0" applyProtection="0">
      <alignment vertical="center"/>
    </xf>
    <xf numFmtId="0" fontId="58" fillId="27" borderId="15" applyNumberFormat="0" applyAlignment="0" applyProtection="0">
      <alignment vertical="center"/>
    </xf>
    <xf numFmtId="0" fontId="58" fillId="27" borderId="15" applyNumberFormat="0" applyAlignment="0" applyProtection="0">
      <alignment vertical="center"/>
    </xf>
    <xf numFmtId="0" fontId="58" fillId="27" borderId="15" applyNumberFormat="0" applyAlignment="0" applyProtection="0">
      <alignment vertical="center"/>
    </xf>
    <xf numFmtId="0" fontId="62" fillId="0" borderId="0"/>
    <xf numFmtId="0" fontId="30" fillId="0" borderId="0"/>
    <xf numFmtId="0" fontId="31" fillId="0" borderId="0"/>
    <xf numFmtId="0" fontId="31" fillId="0" borderId="0"/>
    <xf numFmtId="0" fontId="6" fillId="9" borderId="12" applyNumberFormat="0" applyFont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6" fillId="9" borderId="12" applyNumberFormat="0" applyFont="0" applyAlignment="0" applyProtection="0">
      <alignment vertical="center"/>
    </xf>
    <xf numFmtId="0" fontId="6" fillId="9" borderId="12" applyNumberFormat="0" applyFont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07" applyBorder="1">
      <alignment vertical="center"/>
    </xf>
    <xf numFmtId="0" fontId="7" fillId="0" borderId="0" xfId="307" applyNumberFormat="1" applyFont="1" applyFill="1" applyBorder="1" applyAlignment="1" applyProtection="1">
      <alignment horizontal="center" vertical="center"/>
    </xf>
    <xf numFmtId="0" fontId="6" fillId="0" borderId="0" xfId="307" applyFill="1">
      <alignment vertical="center"/>
    </xf>
    <xf numFmtId="0" fontId="6" fillId="0" borderId="0" xfId="307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07">
      <alignment vertical="center"/>
    </xf>
    <xf numFmtId="0" fontId="6" fillId="0" borderId="0" xfId="307" applyNumberFormat="1">
      <alignment vertical="center"/>
    </xf>
    <xf numFmtId="0" fontId="6" fillId="0" borderId="0" xfId="307" applyNumberFormat="1" applyAlignment="1">
      <alignment horizontal="center" vertical="center"/>
    </xf>
    <xf numFmtId="14" fontId="6" fillId="0" borderId="0" xfId="307" applyNumberFormat="1">
      <alignment vertical="center"/>
    </xf>
    <xf numFmtId="176" fontId="6" fillId="0" borderId="0" xfId="307" applyNumberFormat="1">
      <alignment vertical="center"/>
    </xf>
    <xf numFmtId="178" fontId="8" fillId="0" borderId="0" xfId="111" applyNumberFormat="1" applyFont="1" applyFill="1" applyBorder="1" applyAlignment="1" applyProtection="1">
      <alignment vertical="center"/>
    </xf>
    <xf numFmtId="178" fontId="9" fillId="0" borderId="0" xfId="111" applyNumberFormat="1" applyFont="1" applyFill="1" applyBorder="1" applyAlignment="1" applyProtection="1">
      <alignment vertical="center"/>
    </xf>
    <xf numFmtId="178" fontId="10" fillId="0" borderId="0" xfId="111" applyNumberFormat="1" applyFont="1" applyFill="1" applyBorder="1" applyAlignment="1" applyProtection="1">
      <alignment vertical="center"/>
    </xf>
    <xf numFmtId="178" fontId="10" fillId="0" borderId="0" xfId="111" applyNumberFormat="1" applyFont="1" applyFill="1" applyBorder="1" applyAlignment="1" applyProtection="1">
      <alignment horizontal="center" vertical="top"/>
    </xf>
    <xf numFmtId="0" fontId="6" fillId="0" borderId="0" xfId="307" applyNumberFormat="1" applyFont="1" applyFill="1" applyBorder="1" applyAlignment="1" applyProtection="1">
      <alignment horizontal="center" vertical="center"/>
    </xf>
    <xf numFmtId="0" fontId="6" fillId="0" borderId="0" xfId="307" applyNumberFormat="1" applyBorder="1" applyAlignment="1">
      <alignment horizontal="center" vertical="center"/>
    </xf>
    <xf numFmtId="178" fontId="11" fillId="3" borderId="5" xfId="111" applyNumberFormat="1" applyFont="1" applyFill="1" applyBorder="1" applyAlignment="1" applyProtection="1">
      <alignment horizontal="center" vertical="center"/>
    </xf>
    <xf numFmtId="178" fontId="8" fillId="3" borderId="5" xfId="111" applyNumberFormat="1" applyFont="1" applyFill="1" applyBorder="1" applyAlignment="1" applyProtection="1">
      <alignment horizontal="center" vertical="center"/>
    </xf>
    <xf numFmtId="0" fontId="8" fillId="3" borderId="5" xfId="111" applyNumberFormat="1" applyFont="1" applyFill="1" applyBorder="1" applyAlignment="1" applyProtection="1">
      <alignment horizontal="center" vertical="center" wrapText="1"/>
    </xf>
    <xf numFmtId="0" fontId="12" fillId="3" borderId="5" xfId="399" applyNumberFormat="1" applyFont="1" applyFill="1" applyBorder="1" applyAlignment="1" applyProtection="1">
      <alignment horizontal="center" vertical="center" wrapText="1"/>
    </xf>
    <xf numFmtId="0" fontId="13" fillId="3" borderId="5" xfId="399" applyNumberFormat="1" applyFont="1" applyFill="1" applyBorder="1" applyAlignment="1" applyProtection="1">
      <alignment horizontal="center" vertical="center" wrapText="1"/>
    </xf>
    <xf numFmtId="178" fontId="11" fillId="3" borderId="6" xfId="111" applyNumberFormat="1" applyFont="1" applyFill="1" applyBorder="1" applyAlignment="1" applyProtection="1">
      <alignment horizontal="center" vertical="center"/>
    </xf>
    <xf numFmtId="178" fontId="8" fillId="3" borderId="6" xfId="111" applyNumberFormat="1" applyFont="1" applyFill="1" applyBorder="1" applyAlignment="1" applyProtection="1">
      <alignment horizontal="center" vertical="center"/>
    </xf>
    <xf numFmtId="0" fontId="8" fillId="3" borderId="6" xfId="111" applyNumberFormat="1" applyFont="1" applyFill="1" applyBorder="1" applyAlignment="1" applyProtection="1">
      <alignment horizontal="center" vertical="center" wrapText="1"/>
    </xf>
    <xf numFmtId="0" fontId="12" fillId="3" borderId="6" xfId="399" applyNumberFormat="1" applyFont="1" applyFill="1" applyBorder="1" applyAlignment="1" applyProtection="1">
      <alignment horizontal="center" vertical="center" wrapText="1"/>
    </xf>
    <xf numFmtId="0" fontId="13" fillId="3" borderId="6" xfId="399" applyNumberFormat="1" applyFont="1" applyFill="1" applyBorder="1" applyAlignment="1" applyProtection="1">
      <alignment horizontal="center" vertical="center" wrapText="1"/>
    </xf>
    <xf numFmtId="178" fontId="14" fillId="0" borderId="6" xfId="307" applyNumberFormat="1" applyFont="1" applyFill="1" applyBorder="1" applyAlignment="1" applyProtection="1">
      <alignment horizontal="center" vertical="center"/>
    </xf>
    <xf numFmtId="0" fontId="15" fillId="0" borderId="7" xfId="307" applyFont="1" applyFill="1" applyBorder="1" applyAlignment="1">
      <alignment horizontal="center" vertical="center" wrapText="1"/>
    </xf>
    <xf numFmtId="49" fontId="16" fillId="4" borderId="8" xfId="307" applyNumberFormat="1" applyFont="1" applyFill="1" applyBorder="1" applyAlignment="1">
      <alignment horizontal="center" vertical="center" wrapText="1"/>
    </xf>
    <xf numFmtId="0" fontId="6" fillId="0" borderId="7" xfId="307" applyNumberFormat="1" applyFill="1" applyBorder="1" applyAlignment="1">
      <alignment horizontal="center" vertical="center"/>
    </xf>
    <xf numFmtId="0" fontId="6" fillId="0" borderId="8" xfId="307" applyFill="1" applyBorder="1">
      <alignment vertical="center"/>
    </xf>
    <xf numFmtId="178" fontId="14" fillId="4" borderId="6" xfId="307" applyNumberFormat="1" applyFont="1" applyFill="1" applyBorder="1" applyAlignment="1" applyProtection="1">
      <alignment horizontal="center" vertical="center" shrinkToFit="1"/>
    </xf>
    <xf numFmtId="178" fontId="17" fillId="4" borderId="7" xfId="307" applyNumberFormat="1" applyFont="1" applyFill="1" applyBorder="1" applyAlignment="1" applyProtection="1">
      <alignment horizontal="center" vertical="center" shrinkToFit="1"/>
    </xf>
    <xf numFmtId="178" fontId="17" fillId="4" borderId="7" xfId="307" applyNumberFormat="1" applyFont="1" applyFill="1" applyBorder="1" applyAlignment="1" applyProtection="1">
      <alignment horizontal="center" vertical="top" shrinkToFit="1"/>
    </xf>
    <xf numFmtId="0" fontId="16" fillId="4" borderId="7" xfId="307" applyNumberFormat="1" applyFont="1" applyFill="1" applyBorder="1" applyAlignment="1">
      <alignment horizontal="center" vertical="center" shrinkToFit="1"/>
    </xf>
    <xf numFmtId="0" fontId="6" fillId="4" borderId="7" xfId="307" applyNumberFormat="1" applyFont="1" applyFill="1" applyBorder="1" applyAlignment="1" applyProtection="1">
      <alignment horizontal="center" vertical="center" shrinkToFit="1"/>
    </xf>
    <xf numFmtId="0" fontId="6" fillId="4" borderId="7" xfId="307" applyNumberFormat="1" applyFill="1" applyBorder="1" applyAlignment="1">
      <alignment horizontal="center" vertical="center" shrinkToFit="1"/>
    </xf>
    <xf numFmtId="0" fontId="6" fillId="3" borderId="7" xfId="307" applyFont="1" applyFill="1" applyBorder="1" applyAlignment="1">
      <alignment horizontal="center" vertical="center"/>
    </xf>
    <xf numFmtId="176" fontId="6" fillId="4" borderId="7" xfId="307" applyNumberFormat="1" applyFont="1" applyFill="1" applyBorder="1" applyAlignment="1">
      <alignment horizontal="center" vertical="center"/>
    </xf>
    <xf numFmtId="179" fontId="6" fillId="0" borderId="0" xfId="307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7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07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07" applyNumberFormat="1" applyBorder="1">
      <alignment vertical="center"/>
    </xf>
    <xf numFmtId="178" fontId="10" fillId="0" borderId="0" xfId="111" applyNumberFormat="1" applyFont="1" applyFill="1" applyBorder="1" applyAlignment="1" applyProtection="1">
      <alignment horizontal="center" vertical="center"/>
    </xf>
    <xf numFmtId="177" fontId="24" fillId="5" borderId="0" xfId="307" applyNumberFormat="1" applyFont="1" applyFill="1" applyBorder="1" applyAlignment="1">
      <alignment horizontal="center" vertical="center"/>
    </xf>
    <xf numFmtId="14" fontId="12" fillId="3" borderId="5" xfId="399" applyNumberFormat="1" applyFont="1" applyFill="1" applyBorder="1" applyAlignment="1" applyProtection="1">
      <alignment horizontal="center" vertical="center" wrapText="1"/>
    </xf>
    <xf numFmtId="0" fontId="12" fillId="3" borderId="8" xfId="399" applyNumberFormat="1" applyFont="1" applyFill="1" applyBorder="1" applyAlignment="1" applyProtection="1">
      <alignment horizontal="center" vertical="center" wrapText="1"/>
    </xf>
    <xf numFmtId="0" fontId="12" fillId="3" borderId="9" xfId="399" applyNumberFormat="1" applyFont="1" applyFill="1" applyBorder="1" applyAlignment="1" applyProtection="1">
      <alignment horizontal="center" vertical="center" wrapText="1"/>
    </xf>
    <xf numFmtId="0" fontId="12" fillId="3" borderId="10" xfId="399" applyNumberFormat="1" applyFont="1" applyFill="1" applyBorder="1" applyAlignment="1" applyProtection="1">
      <alignment horizontal="center" vertical="center" wrapText="1"/>
    </xf>
    <xf numFmtId="14" fontId="12" fillId="3" borderId="6" xfId="399" applyNumberFormat="1" applyFont="1" applyFill="1" applyBorder="1" applyAlignment="1" applyProtection="1">
      <alignment horizontal="center" vertical="center" wrapText="1"/>
    </xf>
    <xf numFmtId="0" fontId="12" fillId="3" borderId="7" xfId="399" applyNumberFormat="1" applyFont="1" applyFill="1" applyBorder="1" applyAlignment="1" applyProtection="1">
      <alignment horizontal="center" vertical="center" wrapText="1"/>
    </xf>
    <xf numFmtId="14" fontId="6" fillId="0" borderId="8" xfId="307" applyNumberFormat="1" applyFill="1" applyBorder="1">
      <alignment vertical="center"/>
    </xf>
    <xf numFmtId="177" fontId="14" fillId="0" borderId="7" xfId="307" applyNumberFormat="1" applyFont="1" applyFill="1" applyBorder="1">
      <alignment vertical="center"/>
    </xf>
    <xf numFmtId="177" fontId="14" fillId="0" borderId="7" xfId="307" applyNumberFormat="1" applyFont="1" applyFill="1" applyBorder="1" applyAlignment="1">
      <alignment horizontal="center" vertical="center"/>
    </xf>
    <xf numFmtId="0" fontId="6" fillId="4" borderId="8" xfId="307" applyNumberFormat="1" applyFont="1" applyFill="1" applyBorder="1" applyAlignment="1" applyProtection="1">
      <alignment horizontal="center" vertical="center" shrinkToFit="1"/>
    </xf>
    <xf numFmtId="14" fontId="6" fillId="4" borderId="8" xfId="307" applyNumberFormat="1" applyFont="1" applyFill="1" applyBorder="1" applyAlignment="1" applyProtection="1">
      <alignment horizontal="center" vertical="center" shrinkToFit="1"/>
    </xf>
    <xf numFmtId="179" fontId="17" fillId="4" borderId="7" xfId="307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0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0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7" fontId="0" fillId="0" borderId="0" xfId="307" applyNumberFormat="1" applyFont="1" applyFill="1" applyBorder="1" applyAlignment="1">
      <alignment horizontal="left" vertical="center"/>
    </xf>
    <xf numFmtId="176" fontId="13" fillId="3" borderId="5" xfId="399" applyNumberFormat="1" applyFont="1" applyFill="1" applyBorder="1" applyAlignment="1" applyProtection="1">
      <alignment horizontal="center" vertical="center" wrapText="1"/>
    </xf>
    <xf numFmtId="0" fontId="13" fillId="3" borderId="8" xfId="399" applyNumberFormat="1" applyFont="1" applyFill="1" applyBorder="1" applyAlignment="1" applyProtection="1">
      <alignment horizontal="center" vertical="center" wrapText="1"/>
    </xf>
    <xf numFmtId="0" fontId="13" fillId="3" borderId="9" xfId="399" applyNumberFormat="1" applyFont="1" applyFill="1" applyBorder="1" applyAlignment="1" applyProtection="1">
      <alignment horizontal="center" vertical="center" wrapText="1"/>
    </xf>
    <xf numFmtId="176" fontId="13" fillId="3" borderId="6" xfId="399" applyNumberFormat="1" applyFont="1" applyFill="1" applyBorder="1" applyAlignment="1" applyProtection="1">
      <alignment horizontal="center" vertical="center" wrapText="1"/>
    </xf>
    <xf numFmtId="0" fontId="13" fillId="3" borderId="7" xfId="399" applyNumberFormat="1" applyFont="1" applyFill="1" applyBorder="1" applyAlignment="1" applyProtection="1">
      <alignment horizontal="center" vertical="center" wrapText="1"/>
    </xf>
    <xf numFmtId="177" fontId="14" fillId="4" borderId="7" xfId="307" applyNumberFormat="1" applyFont="1" applyFill="1" applyBorder="1">
      <alignment vertical="center"/>
    </xf>
    <xf numFmtId="177" fontId="14" fillId="4" borderId="10" xfId="307" applyNumberFormat="1" applyFont="1" applyFill="1" applyBorder="1" applyAlignment="1">
      <alignment horizontal="center" vertical="center"/>
    </xf>
    <xf numFmtId="177" fontId="14" fillId="4" borderId="10" xfId="307" applyNumberFormat="1" applyFont="1" applyFill="1" applyBorder="1">
      <alignment vertical="center"/>
    </xf>
    <xf numFmtId="0" fontId="13" fillId="3" borderId="10" xfId="399" applyNumberFormat="1" applyFont="1" applyFill="1" applyBorder="1" applyAlignment="1" applyProtection="1">
      <alignment horizontal="center" vertical="center" wrapText="1"/>
    </xf>
    <xf numFmtId="179" fontId="14" fillId="4" borderId="10" xfId="307" applyNumberFormat="1" applyFont="1" applyFill="1" applyBorder="1" applyAlignment="1" applyProtection="1">
      <alignment horizontal="center" vertical="center"/>
    </xf>
    <xf numFmtId="176" fontId="20" fillId="4" borderId="7" xfId="290" applyNumberFormat="1" applyFont="1" applyFill="1" applyBorder="1" applyAlignment="1" applyProtection="1">
      <alignment horizontal="center" vertical="center"/>
    </xf>
    <xf numFmtId="176" fontId="25" fillId="4" borderId="7" xfId="399" applyNumberFormat="1" applyFont="1" applyFill="1" applyBorder="1" applyAlignment="1" applyProtection="1">
      <alignment horizontal="center" vertical="center"/>
    </xf>
    <xf numFmtId="179" fontId="14" fillId="0" borderId="0" xfId="307" applyNumberFormat="1" applyFont="1" applyFill="1" applyBorder="1" applyAlignment="1" applyProtection="1">
      <alignment horizontal="center" vertical="center"/>
    </xf>
    <xf numFmtId="176" fontId="10" fillId="0" borderId="0" xfId="111" applyNumberFormat="1" applyFont="1" applyFill="1" applyBorder="1" applyAlignment="1" applyProtection="1">
      <alignment horizontal="center" vertical="center" wrapText="1"/>
    </xf>
    <xf numFmtId="0" fontId="11" fillId="3" borderId="5" xfId="111" applyNumberFormat="1" applyFont="1" applyFill="1" applyBorder="1" applyAlignment="1" applyProtection="1">
      <alignment horizontal="center" vertical="center" wrapText="1"/>
    </xf>
    <xf numFmtId="176" fontId="8" fillId="3" borderId="5" xfId="111" applyNumberFormat="1" applyFont="1" applyFill="1" applyBorder="1" applyAlignment="1" applyProtection="1">
      <alignment horizontal="center" vertical="center" wrapText="1"/>
    </xf>
    <xf numFmtId="0" fontId="11" fillId="3" borderId="6" xfId="111" applyNumberFormat="1" applyFont="1" applyFill="1" applyBorder="1" applyAlignment="1" applyProtection="1">
      <alignment horizontal="center" vertical="center" wrapText="1"/>
    </xf>
    <xf numFmtId="176" fontId="8" fillId="3" borderId="6" xfId="111" applyNumberFormat="1" applyFont="1" applyFill="1" applyBorder="1" applyAlignment="1" applyProtection="1">
      <alignment horizontal="center" vertical="center" wrapText="1"/>
    </xf>
    <xf numFmtId="179" fontId="14" fillId="4" borderId="7" xfId="307" applyNumberFormat="1" applyFont="1" applyFill="1" applyBorder="1" applyAlignment="1" applyProtection="1">
      <alignment horizontal="center" vertical="center"/>
    </xf>
    <xf numFmtId="176" fontId="16" fillId="0" borderId="7" xfId="307" applyNumberFormat="1" applyFont="1" applyFill="1" applyBorder="1" applyAlignment="1">
      <alignment horizontal="center" vertical="center" wrapText="1"/>
    </xf>
    <xf numFmtId="179" fontId="14" fillId="0" borderId="7" xfId="307" applyNumberFormat="1" applyFont="1" applyFill="1" applyBorder="1" applyAlignment="1" applyProtection="1">
      <alignment horizontal="center" vertical="center"/>
    </xf>
    <xf numFmtId="176" fontId="17" fillId="4" borderId="7" xfId="307" applyNumberFormat="1" applyFont="1" applyFill="1" applyBorder="1" applyAlignment="1" applyProtection="1">
      <alignment horizontal="center" vertical="center" shrinkToFit="1"/>
    </xf>
    <xf numFmtId="179" fontId="14" fillId="4" borderId="7" xfId="307" applyNumberFormat="1" applyFont="1" applyFill="1" applyBorder="1" applyAlignment="1" applyProtection="1">
      <alignment horizontal="center" vertical="center" shrinkToFit="1"/>
    </xf>
    <xf numFmtId="176" fontId="6" fillId="0" borderId="0" xfId="0" applyNumberFormat="1" applyFont="1" applyFill="1" applyBorder="1" applyAlignment="1" applyProtection="1">
      <alignment vertical="center"/>
    </xf>
    <xf numFmtId="49" fontId="6" fillId="0" borderId="0" xfId="307" applyNumberFormat="1" applyFont="1" applyFill="1" applyBorder="1" applyAlignment="1" applyProtection="1">
      <alignment horizontal="center" vertical="center"/>
    </xf>
    <xf numFmtId="49" fontId="12" fillId="3" borderId="5" xfId="399" applyNumberFormat="1" applyFont="1" applyFill="1" applyBorder="1" applyAlignment="1" applyProtection="1">
      <alignment horizontal="center" vertical="center" wrapText="1"/>
    </xf>
    <xf numFmtId="49" fontId="12" fillId="3" borderId="6" xfId="399" applyNumberFormat="1" applyFont="1" applyFill="1" applyBorder="1" applyAlignment="1" applyProtection="1">
      <alignment horizontal="center" vertical="center" wrapText="1"/>
    </xf>
    <xf numFmtId="0" fontId="25" fillId="4" borderId="7" xfId="307" applyFont="1" applyFill="1" applyBorder="1" applyAlignment="1">
      <alignment horizontal="center" vertical="center"/>
    </xf>
    <xf numFmtId="0" fontId="25" fillId="4" borderId="7" xfId="307" applyFont="1" applyFill="1" applyBorder="1" applyAlignment="1">
      <alignment horizontal="center" vertical="center" shrinkToFit="1"/>
    </xf>
    <xf numFmtId="179" fontId="6" fillId="0" borderId="0" xfId="307" applyNumberFormat="1">
      <alignment vertical="center"/>
    </xf>
  </cellXfs>
  <cellStyles count="483">
    <cellStyle name="常规" xfId="0" builtinId="0"/>
    <cellStyle name="货币[0]" xfId="1" builtinId="7"/>
    <cellStyle name="链接单元格 3 2" xfId="2"/>
    <cellStyle name="20% - 强调文字颜色 1 2" xfId="3"/>
    <cellStyle name="强调文字颜色 2 5" xfId="4"/>
    <cellStyle name="汇总 4 2" xfId="5"/>
    <cellStyle name="_ET_STYLE_NoName_-01_ 3 3 3 2" xfId="6"/>
    <cellStyle name="20% - 强调文字颜色 3" xfId="7" builtinId="38"/>
    <cellStyle name="输出 3" xfId="8"/>
    <cellStyle name="链接单元格 5" xfId="9"/>
    <cellStyle name="输入" xfId="10" builtinId="20"/>
    <cellStyle name="强调文字颜色 2 3 2" xfId="11"/>
    <cellStyle name="货币" xfId="12" builtinId="4"/>
    <cellStyle name="千位分隔[0]" xfId="13" builtinId="6"/>
    <cellStyle name="常规 3 4 3" xfId="14"/>
    <cellStyle name="40% - 强调文字颜色 3" xfId="15" builtinId="39"/>
    <cellStyle name="计算 2" xfId="16"/>
    <cellStyle name="千位分隔" xfId="17" builtinId="3"/>
    <cellStyle name="常规 7 3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标题 4" xfId="29" builtinId="19"/>
    <cellStyle name="解释性文本 2 2" xfId="30"/>
    <cellStyle name="60% - 强调文字颜色 2" xfId="31" builtinId="36"/>
    <cellStyle name="注释 5" xfId="32"/>
    <cellStyle name="警告文本" xfId="33" builtinId="11"/>
    <cellStyle name="强调文字颜色 1 2 3" xfId="34"/>
    <cellStyle name="常规 5 2" xfId="35"/>
    <cellStyle name="60% - 强调文字颜色 2 2 2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计算 3 2" xfId="50"/>
    <cellStyle name="40% - 强调文字颜色 4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60% - 强调文字颜色 4 2 3" xfId="58"/>
    <cellStyle name="40% - 强调文字颜色 6 5" xfId="59"/>
    <cellStyle name="汇总" xfId="60" builtinId="25"/>
    <cellStyle name="好" xfId="61" builtinId="26"/>
    <cellStyle name="输出 3 3" xfId="62"/>
    <cellStyle name="20% - 强调文字颜色 3 3" xfId="63"/>
    <cellStyle name="适中" xfId="64" builtinId="28"/>
    <cellStyle name="输出 5" xfId="65"/>
    <cellStyle name="常规 8 2" xfId="66"/>
    <cellStyle name="20% - 强调文字颜色 5" xfId="67" builtinId="46"/>
    <cellStyle name="检查单元格 3 2" xfId="68"/>
    <cellStyle name=" 3]_x000d__x000a_Zoomed=1_x000d__x000a_Row=128_x000d__x000a_Column=101_x000d__x000a_Height=300_x000d__x000a_Width=301_x000d__x000a_FontName=System_x000d__x000a_FontStyle=1_x000d__x000a_FontSize=12_x000d__x000a_PrtFontNa" xfId="69"/>
    <cellStyle name="强调文字颜色 1" xfId="70" builtinId="29"/>
    <cellStyle name="注释 2 3 3" xfId="71"/>
    <cellStyle name="链接单元格 3" xfId="72"/>
    <cellStyle name="20% - 强调文字颜色 1" xfId="73" builtinId="30"/>
    <cellStyle name="汇总 3 3" xfId="74"/>
    <cellStyle name="40% - 强调文字颜色 4 3 2" xfId="75"/>
    <cellStyle name="??&amp;O龡&amp;H?_x0008_??_x0007__x0001__x0001_" xfId="76"/>
    <cellStyle name="40% - 强调文字颜色 1" xfId="77" builtinId="31"/>
    <cellStyle name="输出 2" xfId="78"/>
    <cellStyle name="链接单元格 4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输出 4" xfId="84"/>
    <cellStyle name="汇总 3 2 2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输出 3 3 2" xfId="95"/>
    <cellStyle name="适中 2" xfId="96"/>
    <cellStyle name="计算 5" xfId="97"/>
    <cellStyle name="20% - 强调文字颜色 3 3 2" xfId="98"/>
    <cellStyle name="40% - 强调文字颜色 6" xfId="99" builtinId="51"/>
    <cellStyle name="60% - 强调文字颜色 6" xfId="100" builtinId="52"/>
    <cellStyle name="标题 4 2 2" xfId="101"/>
    <cellStyle name="_ET_STYLE_NoName_00_" xfId="102"/>
    <cellStyle name="好 2" xfId="103"/>
    <cellStyle name="20% - 强调文字颜色 1 5" xfId="104"/>
    <cellStyle name="40% - 强调文字颜色 2 2" xfId="105"/>
    <cellStyle name="_ET_STYLE_NoName_00__南区长促工资1004_5" xfId="106"/>
    <cellStyle name="20% - 强调文字颜色 1 2 3" xfId="107"/>
    <cellStyle name="20% - 强调文字颜色 1 4" xfId="108"/>
    <cellStyle name="20% - 强调文字颜色 1 3" xfId="109"/>
    <cellStyle name="差 2 3" xfId="110"/>
    <cellStyle name="??_x005f_x0011_?_x005f_x0010_?" xfId="111"/>
    <cellStyle name="_ET_STYLE_NoName_00__北区长促工资1004_3" xfId="112"/>
    <cellStyle name="20% - 强调文字颜色 1 3 2" xfId="113"/>
    <cellStyle name="强调文字颜色 5 5" xfId="114"/>
    <cellStyle name="0,0_x000a__x000a_NA_x000a__x000a_" xfId="115"/>
    <cellStyle name="常规 2 3 2 3" xfId="116"/>
    <cellStyle name="20% - 强调文字颜色 1 2 2" xfId="117"/>
    <cellStyle name="输出 2 2" xfId="118"/>
    <cellStyle name="20% - 强调文字颜色 2 2" xfId="119"/>
    <cellStyle name="输出 2 2 2" xfId="120"/>
    <cellStyle name="20% - 强调文字颜色 2 2 2" xfId="121"/>
    <cellStyle name="输出 2 2 3" xfId="122"/>
    <cellStyle name="20% - 强调文字颜色 2 2 3" xfId="123"/>
    <cellStyle name="输出 2 3" xfId="124"/>
    <cellStyle name="20% - 强调文字颜色 2 3" xfId="125"/>
    <cellStyle name="输出 2 3 2" xfId="126"/>
    <cellStyle name="20% - 强调文字颜色 2 3 2" xfId="127"/>
    <cellStyle name="输出 2 4" xfId="128"/>
    <cellStyle name="20% - 强调文字颜色 2 4" xfId="129"/>
    <cellStyle name="输出 2 5" xfId="130"/>
    <cellStyle name="20% - 强调文字颜色 2 5" xfId="131"/>
    <cellStyle name="输出 3 2" xfId="132"/>
    <cellStyle name="20% - 强调文字颜色 3 2" xfId="133"/>
    <cellStyle name="输出 3 2 2" xfId="134"/>
    <cellStyle name="20% - 强调文字颜色 3 2 2" xfId="135"/>
    <cellStyle name="输出 3 2 3" xfId="136"/>
    <cellStyle name="20% - 强调文字颜色 3 2 3" xfId="137"/>
    <cellStyle name="输出 3 4" xfId="138"/>
    <cellStyle name="60% - 强调文字颜色 1 2" xfId="139"/>
    <cellStyle name="20% - 强调文字颜色 3 4" xfId="140"/>
    <cellStyle name="60% - 强调文字颜色 1 3" xfId="141"/>
    <cellStyle name="20% - 强调文字颜色 3 5" xfId="142"/>
    <cellStyle name="输出 4 2" xfId="143"/>
    <cellStyle name="常规 3" xfId="144"/>
    <cellStyle name="20% - 强调文字颜色 4 2" xfId="145"/>
    <cellStyle name="输出 4 2 2" xfId="146"/>
    <cellStyle name="常规 3 2" xfId="147"/>
    <cellStyle name="20% - 强调文字颜色 4 2 2" xfId="148"/>
    <cellStyle name="输入 4 2" xfId="149"/>
    <cellStyle name="常规 3 3" xfId="150"/>
    <cellStyle name="20% - 强调文字颜色 4 2 3" xfId="151"/>
    <cellStyle name="输出 4 3" xfId="152"/>
    <cellStyle name="常规 4" xfId="153"/>
    <cellStyle name="20% - 强调文字颜色 4 3" xfId="154"/>
    <cellStyle name="常规 4 2" xfId="155"/>
    <cellStyle name="20% - 强调文字颜色 4 3 2" xfId="156"/>
    <cellStyle name="常规 5" xfId="157"/>
    <cellStyle name="60% - 强调文字颜色 2 2" xfId="158"/>
    <cellStyle name="20% - 强调文字颜色 4 4" xfId="159"/>
    <cellStyle name="输出 5 2" xfId="160"/>
    <cellStyle name="20% - 强调文字颜色 5 2" xfId="161"/>
    <cellStyle name="输出 5 2 2" xfId="162"/>
    <cellStyle name="3232" xfId="163"/>
    <cellStyle name="20% - 强调文字颜色 5 2 2" xfId="164"/>
    <cellStyle name="20% - 强调文字颜色 5 2 3" xfId="165"/>
    <cellStyle name="输出 5 3" xfId="166"/>
    <cellStyle name="20% - 强调文字颜色 5 3" xfId="167"/>
    <cellStyle name="差 5" xfId="168"/>
    <cellStyle name="百分比 3" xfId="169"/>
    <cellStyle name="20% - 强调文字颜色 5 3 2" xfId="170"/>
    <cellStyle name="60% - 强调文字颜色 3 2" xfId="171"/>
    <cellStyle name="20% - 强调文字颜色 5 4" xfId="172"/>
    <cellStyle name="60% - 强调文字颜色 3 3" xfId="173"/>
    <cellStyle name="20% - 强调文字颜色 5 5" xfId="174"/>
    <cellStyle name="20% - 强调文字颜色 6 2" xfId="175"/>
    <cellStyle name="40% - 强调文字颜色 4 4" xfId="176"/>
    <cellStyle name="20% - 强调文字颜色 6 2 2" xfId="177"/>
    <cellStyle name="40% - 强调文字颜色 4 5" xfId="178"/>
    <cellStyle name="20% - 强调文字颜色 6 2 3" xfId="179"/>
    <cellStyle name="20% - 强调文字颜色 6 3" xfId="180"/>
    <cellStyle name="40% - 强调文字颜色 5 4" xfId="181"/>
    <cellStyle name="20% - 强调文字颜色 6 3 2" xfId="182"/>
    <cellStyle name="注释 3 2 2 2" xfId="183"/>
    <cellStyle name="60% - 强调文字颜色 4 2" xfId="184"/>
    <cellStyle name="20% - 强调文字颜色 6 4" xfId="185"/>
    <cellStyle name="60% - 强调文字颜色 4 3" xfId="186"/>
    <cellStyle name="40% - 强调文字颜色 5 2 2" xfId="187"/>
    <cellStyle name="20% - 强调文字颜色 6 5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40% - 强调文字颜色 1 3 2" xfId="193"/>
    <cellStyle name="40% - 强调文字颜色 1 4" xfId="194"/>
    <cellStyle name="40% - 强调文字颜色 1 5" xfId="195"/>
    <cellStyle name="40% - 强调文字颜色 2 2 2" xfId="196"/>
    <cellStyle name="40% - 强调文字颜色 2 2 3" xfId="197"/>
    <cellStyle name="40% - 强调文字颜色 2 3" xfId="198"/>
    <cellStyle name="40% - 强调文字颜色 2 3 2" xfId="199"/>
    <cellStyle name="40% - 强调文字颜色 2 4" xfId="200"/>
    <cellStyle name="40% - 强调文字颜色 2 5" xfId="201"/>
    <cellStyle name="计算 2 2" xfId="202"/>
    <cellStyle name="40% - 强调文字颜色 3 2" xfId="203"/>
    <cellStyle name="计算 2 2 2" xfId="204"/>
    <cellStyle name="40% - 强调文字颜色 3 2 2" xfId="205"/>
    <cellStyle name="40% - 强调文字颜色 3 2 3" xfId="206"/>
    <cellStyle name="计算 2 3" xfId="207"/>
    <cellStyle name="40% - 强调文字颜色 3 3" xfId="208"/>
    <cellStyle name="计算 2 3 2" xfId="209"/>
    <cellStyle name="40% - 强调文字颜色 3 3 2" xfId="210"/>
    <cellStyle name="计算 2 4" xfId="211"/>
    <cellStyle name="40% - 强调文字颜色 3 4" xfId="212"/>
    <cellStyle name="40% - 强调文字颜色 3 5" xfId="213"/>
    <cellStyle name="检查单元格 2" xfId="214"/>
    <cellStyle name="计算 3 2 2" xfId="215"/>
    <cellStyle name="汇总 2 3" xfId="216"/>
    <cellStyle name="标题 4 4" xfId="217"/>
    <cellStyle name="40% - 强调文字颜色 4 2 2" xfId="218"/>
    <cellStyle name="检查单元格 3" xfId="219"/>
    <cellStyle name="汇总 2 4" xfId="220"/>
    <cellStyle name="标题 4 5" xfId="221"/>
    <cellStyle name="40% - 强调文字颜色 4 2 3" xfId="222"/>
    <cellStyle name="输入 2 2 2" xfId="223"/>
    <cellStyle name="计算 3 3" xfId="224"/>
    <cellStyle name="40% - 强调文字颜色 4 3" xfId="225"/>
    <cellStyle name="计算 4 2" xfId="226"/>
    <cellStyle name="好 2 3" xfId="227"/>
    <cellStyle name="40% - 强调文字颜色 5 2" xfId="228"/>
    <cellStyle name="60% - 强调文字颜色 4 4" xfId="229"/>
    <cellStyle name="40% - 强调文字颜色 5 2 3" xfId="230"/>
    <cellStyle name="输入 2 3 2" xfId="231"/>
    <cellStyle name="40% - 强调文字颜色 5 3" xfId="232"/>
    <cellStyle name="60% - 强调文字颜色 5 3" xfId="233"/>
    <cellStyle name="40% - 强调文字颜色 5 3 2" xfId="234"/>
    <cellStyle name="40% - 强调文字颜色 5 5" xfId="235"/>
    <cellStyle name="适中 2 2" xfId="236"/>
    <cellStyle name="计算 5 2" xfId="237"/>
    <cellStyle name="40% - 强调文字颜色 6 2" xfId="238"/>
    <cellStyle name="40% - 强调文字颜色 6 2 2" xfId="239"/>
    <cellStyle name="40% - 强调文字颜色 6 2 3" xfId="240"/>
    <cellStyle name="适中 2 3" xfId="241"/>
    <cellStyle name="强调文字颜色 3 2 2" xfId="242"/>
    <cellStyle name="40% - 强调文字颜色 6 3" xfId="243"/>
    <cellStyle name="解释性文本 3" xfId="244"/>
    <cellStyle name="40% - 强调文字颜色 6 3 2" xfId="245"/>
    <cellStyle name="强调文字颜色 3 2 3" xfId="246"/>
    <cellStyle name="60% - 强调文字颜色 4 2 2" xfId="247"/>
    <cellStyle name="40% - 强调文字颜色 6 4" xfId="248"/>
    <cellStyle name="60% - 强调文字颜色 1 2 2" xfId="249"/>
    <cellStyle name="60% - 强调文字颜色 1 2 3" xfId="250"/>
    <cellStyle name="60% - 强调文字颜色 1 3 2" xfId="251"/>
    <cellStyle name="60% - 强调文字颜色 1 4" xfId="252"/>
    <cellStyle name="注释 5 2 2" xfId="253"/>
    <cellStyle name="警告文本 2 2" xfId="254"/>
    <cellStyle name="60% - 强调文字颜色 1 5" xfId="255"/>
    <cellStyle name="60% - 强调文字颜色 2 2 3" xfId="256"/>
    <cellStyle name="注释 2" xfId="257"/>
    <cellStyle name="常规 6 2" xfId="258"/>
    <cellStyle name="60% - 强调文字颜色 2 3 2" xfId="259"/>
    <cellStyle name="常规 7" xfId="260"/>
    <cellStyle name="60% - 强调文字颜色 2 4" xfId="261"/>
    <cellStyle name="警告文本 3 2" xfId="262"/>
    <cellStyle name="常规 8" xfId="263"/>
    <cellStyle name="60% - 强调文字颜色 2 5" xfId="264"/>
    <cellStyle name="强调文字颜色 2 2 3" xfId="265"/>
    <cellStyle name="60% - 强调文字颜色 3 2 2" xfId="266"/>
    <cellStyle name="60% - 强调文字颜色 3 2 3" xfId="267"/>
    <cellStyle name="60% - 强调文字颜色 3 3 2" xfId="268"/>
    <cellStyle name="60% - 强调文字颜色 3 4" xfId="269"/>
    <cellStyle name="60% - 强调文字颜色 3 5" xfId="270"/>
    <cellStyle name="60% - 强调文字颜色 4 3 2" xfId="271"/>
    <cellStyle name="60% - 强调文字颜色 4 5" xfId="272"/>
    <cellStyle name="60% - 强调文字颜色 5 2" xfId="273"/>
    <cellStyle name="强调文字颜色 4 2 3" xfId="274"/>
    <cellStyle name="60% - 强调文字颜色 5 2 2" xfId="275"/>
    <cellStyle name="60% - 强调文字颜色 5 2 3" xfId="276"/>
    <cellStyle name="60% - 强调文字颜色 5 3 2" xfId="277"/>
    <cellStyle name="60% - 强调文字颜色 5 4" xfId="278"/>
    <cellStyle name="60% - 强调文字颜色 5 5" xfId="279"/>
    <cellStyle name="60% - 强调文字颜色 6 2" xfId="280"/>
    <cellStyle name="强调文字颜色 5 2 3" xfId="281"/>
    <cellStyle name="常规 3 5 3" xfId="282"/>
    <cellStyle name="60% - 强调文字颜色 6 2 2" xfId="283"/>
    <cellStyle name="Normal_08'前程工资8月" xfId="284"/>
    <cellStyle name="60% - 强调文字颜色 6 2 3" xfId="285"/>
    <cellStyle name="60% - 强调文字颜色 6 3" xfId="286"/>
    <cellStyle name="60% - 强调文字颜色 6 4" xfId="287"/>
    <cellStyle name="60% - 强调文字颜色 6 5" xfId="288"/>
    <cellStyle name="警告文本 2 3" xfId="289"/>
    <cellStyle name="Comma_SALARYBJ" xfId="290"/>
    <cellStyle name="差 4" xfId="291"/>
    <cellStyle name="百分比 2" xfId="292"/>
    <cellStyle name="百分比 2 2" xfId="293"/>
    <cellStyle name="标题 1 2" xfId="294"/>
    <cellStyle name="标题 1 2 2" xfId="295"/>
    <cellStyle name="标题 1 2 3" xfId="296"/>
    <cellStyle name="标题 1 3" xfId="297"/>
    <cellStyle name="汇总 3" xfId="298"/>
    <cellStyle name="标题 1 3 2" xfId="299"/>
    <cellStyle name="标题 1 4" xfId="300"/>
    <cellStyle name="标题 1 5" xfId="301"/>
    <cellStyle name="标题 2 2" xfId="302"/>
    <cellStyle name="标题 2 2 2" xfId="303"/>
    <cellStyle name="好 3 2" xfId="304"/>
    <cellStyle name="标题 2 2 3" xfId="305"/>
    <cellStyle name="标题 2 3" xfId="306"/>
    <cellStyle name="常规 11" xfId="307"/>
    <cellStyle name="标题 2 3 2" xfId="308"/>
    <cellStyle name="标题 2 4" xfId="309"/>
    <cellStyle name="标题 2 5" xfId="310"/>
    <cellStyle name="标题 3 2" xfId="311"/>
    <cellStyle name="好 5" xfId="312"/>
    <cellStyle name="标题 3 2 2" xfId="313"/>
    <cellStyle name="标题 3 2 3" xfId="314"/>
    <cellStyle name="标题 3 3" xfId="315"/>
    <cellStyle name="样式 1" xfId="316"/>
    <cellStyle name="标题 3 3 2" xfId="317"/>
    <cellStyle name="标题 3 4" xfId="318"/>
    <cellStyle name="标题 3 5" xfId="319"/>
    <cellStyle name="千位分隔 3" xfId="320"/>
    <cellStyle name="标题 4 2" xfId="321"/>
    <cellStyle name="标题 4 2 3" xfId="322"/>
    <cellStyle name="汇总 2 2" xfId="323"/>
    <cellStyle name="标题 4 3" xfId="324"/>
    <cellStyle name="汇总 2 2 2" xfId="325"/>
    <cellStyle name="标题 4 3 2" xfId="326"/>
    <cellStyle name="解释性文本 2 3" xfId="327"/>
    <cellStyle name="标题 5" xfId="328"/>
    <cellStyle name="强调文字颜色 1 4" xfId="329"/>
    <cellStyle name="标题 5 2" xfId="330"/>
    <cellStyle name="强调文字颜色 1 5" xfId="331"/>
    <cellStyle name="汇总 3 2" xfId="332"/>
    <cellStyle name="标题 5 3" xfId="333"/>
    <cellStyle name="标题 6" xfId="334"/>
    <cellStyle name="强调文字颜色 2 4" xfId="335"/>
    <cellStyle name="标题 6 2" xfId="336"/>
    <cellStyle name="注释 2 4 2" xfId="337"/>
    <cellStyle name="标题 7" xfId="338"/>
    <cellStyle name="标题 8" xfId="339"/>
    <cellStyle name="解释性文本 5" xfId="340"/>
    <cellStyle name="差 2" xfId="341"/>
    <cellStyle name="差 2 2" xfId="342"/>
    <cellStyle name="差 3" xfId="343"/>
    <cellStyle name="差 3 2" xfId="344"/>
    <cellStyle name="常规 11 2" xfId="345"/>
    <cellStyle name="常规 2 3 2 2" xfId="346"/>
    <cellStyle name="常规 11 3" xfId="347"/>
    <cellStyle name="常规 12" xfId="348"/>
    <cellStyle name="常规 12 2" xfId="349"/>
    <cellStyle name="常规 12 3" xfId="350"/>
    <cellStyle name="强调文字颜色 3 3 2" xfId="351"/>
    <cellStyle name="常规 14" xfId="352"/>
    <cellStyle name="常规 14 2" xfId="353"/>
    <cellStyle name="常规 14 3" xfId="354"/>
    <cellStyle name="常规 2" xfId="355"/>
    <cellStyle name="常规 2 2" xfId="356"/>
    <cellStyle name="常规 2 2 2" xfId="357"/>
    <cellStyle name="常规 2 2 2 2" xfId="358"/>
    <cellStyle name="常规 2 2 3" xfId="359"/>
    <cellStyle name="输入 3 2" xfId="360"/>
    <cellStyle name="常规 2 3" xfId="361"/>
    <cellStyle name="输入 3 2 2" xfId="362"/>
    <cellStyle name="常规 2 3 2" xfId="363"/>
    <cellStyle name="常规 2 3 3" xfId="364"/>
    <cellStyle name="常规 2 3 4" xfId="365"/>
    <cellStyle name="输入 3 3" xfId="366"/>
    <cellStyle name="常规 2 4" xfId="367"/>
    <cellStyle name="常规 2 4 2" xfId="368"/>
    <cellStyle name="强调文字颜色 4 2" xfId="369"/>
    <cellStyle name="常规 2 5" xfId="370"/>
    <cellStyle name="强调文字颜色 4 2 2" xfId="371"/>
    <cellStyle name="常规 2 5 2" xfId="372"/>
    <cellStyle name="强调文字颜色 4 3" xfId="373"/>
    <cellStyle name="常规 2 6" xfId="374"/>
    <cellStyle name="强调文字颜色 4 3 2" xfId="375"/>
    <cellStyle name="常规 2 6 2" xfId="376"/>
    <cellStyle name="常规 2 6 2 2" xfId="377"/>
    <cellStyle name="常规 27" xfId="378"/>
    <cellStyle name="适中 4" xfId="379"/>
    <cellStyle name="常规 3 2 2" xfId="380"/>
    <cellStyle name="常规 3 3 2" xfId="381"/>
    <cellStyle name="常规 3 3 3" xfId="382"/>
    <cellStyle name="常规 3 4" xfId="383"/>
    <cellStyle name="常规 3 4 2" xfId="384"/>
    <cellStyle name="强调文字颜色 5 2" xfId="385"/>
    <cellStyle name="常规 3 5" xfId="386"/>
    <cellStyle name="强调文字颜色 5 2 2" xfId="387"/>
    <cellStyle name="常规 3 5 2" xfId="388"/>
    <cellStyle name="常规 4 4" xfId="389"/>
    <cellStyle name="常规 4 2 2" xfId="390"/>
    <cellStyle name="输入 5 2" xfId="391"/>
    <cellStyle name="常规 4 3" xfId="392"/>
    <cellStyle name="常规 7 2" xfId="393"/>
    <cellStyle name="强调文字颜色 6 3 2" xfId="394"/>
    <cellStyle name="常规 8 4" xfId="395"/>
    <cellStyle name="常规 9" xfId="396"/>
    <cellStyle name="注释 5 2" xfId="397"/>
    <cellStyle name="警告文本 2" xfId="398"/>
    <cellStyle name="常规_付款通知书智联（神数系统）" xfId="399"/>
    <cellStyle name="好 2 2" xfId="400"/>
    <cellStyle name="好 3" xfId="401"/>
    <cellStyle name="好 4" xfId="402"/>
    <cellStyle name="汇总 2" xfId="403"/>
    <cellStyle name="检查单元格 2 2" xfId="404"/>
    <cellStyle name="汇总 2 3 2" xfId="405"/>
    <cellStyle name="汇总 4" xfId="406"/>
    <cellStyle name="汇总 5" xfId="407"/>
    <cellStyle name="强调文字颜色 3 5" xfId="408"/>
    <cellStyle name="汇总 5 2" xfId="409"/>
    <cellStyle name="检查单元格 2 3" xfId="410"/>
    <cellStyle name="检查单元格 4" xfId="411"/>
    <cellStyle name="检查单元格 5" xfId="412"/>
    <cellStyle name="解释性文本 2" xfId="413"/>
    <cellStyle name="解释性文本 3 2" xfId="414"/>
    <cellStyle name="解释性文本 4" xfId="415"/>
    <cellStyle name="注释 5 3" xfId="416"/>
    <cellStyle name="警告文本 3" xfId="417"/>
    <cellStyle name="警告文本 4" xfId="418"/>
    <cellStyle name="警告文本 5" xfId="419"/>
    <cellStyle name="注释 2 3 2" xfId="420"/>
    <cellStyle name="链接单元格 2" xfId="421"/>
    <cellStyle name="注释 2 3 2 2" xfId="422"/>
    <cellStyle name="链接单元格 2 2" xfId="423"/>
    <cellStyle name="链接单元格 2 3" xfId="424"/>
    <cellStyle name="千位分隔 2" xfId="425"/>
    <cellStyle name="千位分隔 2 2" xfId="426"/>
    <cellStyle name="强调文字颜色 1 2" xfId="427"/>
    <cellStyle name="强调文字颜色 1 2 2" xfId="428"/>
    <cellStyle name="强调文字颜色 1 3" xfId="429"/>
    <cellStyle name="强调文字颜色 1 3 2" xfId="430"/>
    <cellStyle name="强调文字颜色 2 2" xfId="431"/>
    <cellStyle name="强调文字颜色 2 2 2" xfId="432"/>
    <cellStyle name="强调文字颜色 2 3" xfId="433"/>
    <cellStyle name="输入 2 4" xfId="434"/>
    <cellStyle name="强调文字颜色 3 2" xfId="435"/>
    <cellStyle name="强调文字颜色 3 3" xfId="436"/>
    <cellStyle name="强调文字颜色 3 4" xfId="437"/>
    <cellStyle name="强调文字颜色 4 4" xfId="438"/>
    <cellStyle name="输入 2" xfId="439"/>
    <cellStyle name="强调文字颜色 4 5" xfId="440"/>
    <cellStyle name="强调文字颜色 5 3" xfId="441"/>
    <cellStyle name="强调文字颜色 5 3 2" xfId="442"/>
    <cellStyle name="强调文字颜色 5 4" xfId="443"/>
    <cellStyle name="强调文字颜色 6 2" xfId="444"/>
    <cellStyle name="强调文字颜色 6 2 2" xfId="445"/>
    <cellStyle name="强调文字颜色 6 2 3" xfId="446"/>
    <cellStyle name="强调文字颜色 6 3" xfId="447"/>
    <cellStyle name="强调文字颜色 6 4" xfId="448"/>
    <cellStyle name="强调文字颜色 6 5" xfId="449"/>
    <cellStyle name="适中 3" xfId="450"/>
    <cellStyle name="适中 3 2" xfId="451"/>
    <cellStyle name="适中 5" xfId="452"/>
    <cellStyle name="输出 2 2 2 2" xfId="453"/>
    <cellStyle name="输出 2 3 2 2" xfId="454"/>
    <cellStyle name="输出 2 3 3" xfId="455"/>
    <cellStyle name="输出 3 2 2 2" xfId="456"/>
    <cellStyle name="样式 2 4" xfId="457"/>
    <cellStyle name="输入 2 2" xfId="458"/>
    <cellStyle name="样式 2 5" xfId="459"/>
    <cellStyle name="输入 2 3" xfId="460"/>
    <cellStyle name="输入 3" xfId="461"/>
    <cellStyle name="输入 4" xfId="462"/>
    <cellStyle name="输入 5" xfId="463"/>
    <cellStyle name="样式 1 2" xfId="464"/>
    <cellStyle name="样式 2" xfId="465"/>
    <cellStyle name="样式 2 2" xfId="466"/>
    <cellStyle name="样式 2 3" xfId="467"/>
    <cellStyle name="注释 2 2" xfId="468"/>
    <cellStyle name="注释 2 2 2" xfId="469"/>
    <cellStyle name="注释 2 2 2 2" xfId="470"/>
    <cellStyle name="注释 2 2 3" xfId="471"/>
    <cellStyle name="注释 2 4" xfId="472"/>
    <cellStyle name="注释 2 5" xfId="473"/>
    <cellStyle name="注释 3" xfId="474"/>
    <cellStyle name="注释 3 2" xfId="475"/>
    <cellStyle name="注释 3 3" xfId="476"/>
    <cellStyle name="注释 3 3 2" xfId="477"/>
    <cellStyle name="注释 3 4" xfId="478"/>
    <cellStyle name="注释 4" xfId="479"/>
    <cellStyle name="注释 4 2" xfId="480"/>
    <cellStyle name="注释 4 2 2" xfId="481"/>
    <cellStyle name="注释 4 3" xfId="48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L4" sqref="L4:P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37" t="s">
        <v>51</v>
      </c>
      <c r="D4" s="37" t="s">
        <v>52</v>
      </c>
      <c r="E4" s="37" t="s">
        <v>53</v>
      </c>
      <c r="F4" s="38" t="s">
        <v>54</v>
      </c>
      <c r="G4" s="39"/>
      <c r="H4" s="40"/>
      <c r="I4" s="40"/>
      <c r="J4" s="69"/>
      <c r="K4" s="40"/>
      <c r="L4" s="70">
        <v>7500</v>
      </c>
      <c r="M4" s="71">
        <v>256</v>
      </c>
      <c r="N4" s="71">
        <v>84.11</v>
      </c>
      <c r="O4" s="71">
        <v>16</v>
      </c>
      <c r="P4" s="71">
        <v>106</v>
      </c>
      <c r="Q4" s="89">
        <f>ROUND(SUM(M4:P4),2)</f>
        <v>462.11</v>
      </c>
      <c r="R4" s="70">
        <v>0</v>
      </c>
      <c r="S4" s="90">
        <f>L4</f>
        <v>7500</v>
      </c>
      <c r="T4" s="91">
        <v>5000</v>
      </c>
      <c r="U4" s="91">
        <f>Q4</f>
        <v>462.11</v>
      </c>
      <c r="V4" s="70">
        <v>0</v>
      </c>
      <c r="W4" s="70">
        <v>0</v>
      </c>
      <c r="X4" s="70">
        <v>0</v>
      </c>
      <c r="Y4" s="70">
        <v>0</v>
      </c>
      <c r="Z4" s="70">
        <v>0</v>
      </c>
      <c r="AA4" s="70">
        <v>0</v>
      </c>
      <c r="AB4" s="90">
        <f>ROUND(SUM(V4:AA4),2)</f>
        <v>0</v>
      </c>
      <c r="AC4" s="90">
        <f>R4</f>
        <v>0</v>
      </c>
      <c r="AD4" s="93">
        <f>ROUND(S4-T5-U4-AB4-AC4,2)</f>
        <v>2037.89</v>
      </c>
      <c r="AE4" s="94">
        <f>ROUND(MAX((AD4)*{0.03;0.1;0.2;0.25;0.3;0.35;0.45}-{0;2520;16920;31920;52920;85920;181920},0),2)</f>
        <v>61.14</v>
      </c>
      <c r="AF4" s="95">
        <v>0</v>
      </c>
      <c r="AG4" s="95">
        <f>IF((AE4-AF4)&lt;0,0,AE4-AF4)</f>
        <v>61.14</v>
      </c>
      <c r="AH4" s="102">
        <f>ROUND(IF((L4-Q4-AG4)&lt;0,0,(L4-Q4-AG4)),2)</f>
        <v>6976.75</v>
      </c>
      <c r="AI4" s="103"/>
      <c r="AJ4" s="102">
        <f>AH4+AI4</f>
        <v>6976.75</v>
      </c>
      <c r="AK4" s="104"/>
      <c r="AL4" s="102">
        <f>AJ4+AG4+AK4</f>
        <v>7037.89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IF(SUMPRODUCT(N(E$1:E$10=E4))&gt;1,"重复","不")</f>
        <v>不</v>
      </c>
      <c r="AT4" s="111" t="str">
        <f>IF(SUMPRODUCT(N(AO$1:AO$10=AO4))&gt;1,"重复","不")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37" t="s">
        <v>55</v>
      </c>
      <c r="D5" s="37" t="s">
        <v>52</v>
      </c>
      <c r="E5" s="37" t="s">
        <v>56</v>
      </c>
      <c r="F5" s="38" t="s">
        <v>54</v>
      </c>
      <c r="G5" s="39"/>
      <c r="H5" s="40"/>
      <c r="I5" s="40"/>
      <c r="J5" s="69"/>
      <c r="K5" s="40"/>
      <c r="L5" s="70">
        <v>3500</v>
      </c>
      <c r="M5" s="71">
        <v>256</v>
      </c>
      <c r="N5" s="71">
        <v>84.11</v>
      </c>
      <c r="O5" s="71">
        <v>16</v>
      </c>
      <c r="P5" s="71">
        <v>106</v>
      </c>
      <c r="Q5" s="89">
        <f>ROUND(SUM(M5:P5),2)</f>
        <v>462.11</v>
      </c>
      <c r="R5" s="70">
        <v>0</v>
      </c>
      <c r="S5" s="90">
        <f>L5</f>
        <v>3500</v>
      </c>
      <c r="T5" s="91">
        <v>5000</v>
      </c>
      <c r="U5" s="91">
        <f>Q5</f>
        <v>462.11</v>
      </c>
      <c r="V5" s="70">
        <v>0</v>
      </c>
      <c r="W5" s="70">
        <v>0</v>
      </c>
      <c r="X5" s="70">
        <v>0</v>
      </c>
      <c r="Y5" s="70">
        <v>0</v>
      </c>
      <c r="Z5" s="70">
        <v>0</v>
      </c>
      <c r="AA5" s="70">
        <v>0</v>
      </c>
      <c r="AB5" s="90">
        <f>ROUND(SUM(V5:AA5),2)</f>
        <v>0</v>
      </c>
      <c r="AC5" s="90">
        <f>R5</f>
        <v>0</v>
      </c>
      <c r="AD5" s="93">
        <f>ROUND(S5-T6-U5-AB5-AC5,2)</f>
        <v>-1962.11</v>
      </c>
      <c r="AE5" s="94">
        <f>ROUND(MAX((AD5)*{0.03;0.1;0.2;0.25;0.3;0.35;0.45}-{0;2520;16920;31920;52920;85920;181920},0),2)</f>
        <v>0</v>
      </c>
      <c r="AF5" s="95">
        <v>0</v>
      </c>
      <c r="AG5" s="95">
        <f>IF((AE5-AF5)&lt;0,0,AE5-AF5)</f>
        <v>0</v>
      </c>
      <c r="AH5" s="102">
        <f>ROUND(IF((L5-Q5-AG5)&lt;0,0,(L5-Q5-AG5)),2)</f>
        <v>3037.89</v>
      </c>
      <c r="AI5" s="103"/>
      <c r="AJ5" s="102">
        <f>AH5+AI5</f>
        <v>3037.89</v>
      </c>
      <c r="AK5" s="104"/>
      <c r="AL5" s="102">
        <f>AJ5+AG5+AK5</f>
        <v>3037.89</v>
      </c>
      <c r="AM5" s="104"/>
      <c r="AN5" s="104"/>
      <c r="AO5" s="104"/>
      <c r="AP5" s="104"/>
      <c r="AQ5" s="104"/>
      <c r="AR5" s="111"/>
      <c r="AS5" s="111"/>
      <c r="AT5" s="111"/>
    </row>
    <row r="6" s="12" customFormat="1" ht="18" customHeight="1" spans="1:46">
      <c r="A6" s="36">
        <v>3</v>
      </c>
      <c r="B6" s="37" t="s">
        <v>50</v>
      </c>
      <c r="C6" s="37" t="s">
        <v>57</v>
      </c>
      <c r="D6" s="37" t="s">
        <v>52</v>
      </c>
      <c r="E6" s="37" t="s">
        <v>58</v>
      </c>
      <c r="F6" s="38" t="s">
        <v>54</v>
      </c>
      <c r="G6" s="39"/>
      <c r="H6" s="40"/>
      <c r="I6" s="40"/>
      <c r="J6" s="69"/>
      <c r="K6" s="40"/>
      <c r="L6" s="70">
        <v>4000</v>
      </c>
      <c r="M6" s="71">
        <v>256</v>
      </c>
      <c r="N6" s="71">
        <v>84.11</v>
      </c>
      <c r="O6" s="71">
        <v>16</v>
      </c>
      <c r="P6" s="71">
        <v>106</v>
      </c>
      <c r="Q6" s="89">
        <f>ROUND(SUM(M6:P6),2)</f>
        <v>462.11</v>
      </c>
      <c r="R6" s="70">
        <v>0</v>
      </c>
      <c r="S6" s="90">
        <f>L6</f>
        <v>4000</v>
      </c>
      <c r="T6" s="91">
        <v>5000</v>
      </c>
      <c r="U6" s="91">
        <f>Q6</f>
        <v>462.11</v>
      </c>
      <c r="V6" s="70">
        <v>0</v>
      </c>
      <c r="W6" s="70">
        <v>0</v>
      </c>
      <c r="X6" s="70">
        <v>0</v>
      </c>
      <c r="Y6" s="70">
        <v>0</v>
      </c>
      <c r="Z6" s="70">
        <v>0</v>
      </c>
      <c r="AA6" s="70">
        <v>0</v>
      </c>
      <c r="AB6" s="90">
        <f>ROUND(SUM(V6:AA6),2)</f>
        <v>0</v>
      </c>
      <c r="AC6" s="90">
        <f>R6</f>
        <v>0</v>
      </c>
      <c r="AD6" s="93">
        <f>ROUND(S6-T7-U6-AB6-AC6,2)</f>
        <v>-1462.11</v>
      </c>
      <c r="AE6" s="94">
        <f>ROUND(MAX((AD6)*{0.03;0.1;0.2;0.25;0.3;0.35;0.45}-{0;2520;16920;31920;52920;85920;181920},0),2)</f>
        <v>0</v>
      </c>
      <c r="AF6" s="95">
        <v>0</v>
      </c>
      <c r="AG6" s="95">
        <f>IF((AE6-AF6)&lt;0,0,AE6-AF6)</f>
        <v>0</v>
      </c>
      <c r="AH6" s="102">
        <f>ROUND(IF((L6-Q6-AG6)&lt;0,0,(L6-Q6-AG6)),2)</f>
        <v>3537.89</v>
      </c>
      <c r="AI6" s="103"/>
      <c r="AJ6" s="102">
        <f>AH6+AI6</f>
        <v>3537.89</v>
      </c>
      <c r="AK6" s="104"/>
      <c r="AL6" s="102">
        <f>AJ6+AG6+AK6</f>
        <v>3537.89</v>
      </c>
      <c r="AM6" s="104"/>
      <c r="AN6" s="104"/>
      <c r="AO6" s="104"/>
      <c r="AP6" s="104"/>
      <c r="AQ6" s="104"/>
      <c r="AR6" s="111"/>
      <c r="AS6" s="111"/>
      <c r="AT6" s="111"/>
    </row>
    <row r="7" s="12" customFormat="1" ht="18" customHeight="1" spans="1:46">
      <c r="A7" s="36">
        <v>4</v>
      </c>
      <c r="B7" s="37" t="s">
        <v>50</v>
      </c>
      <c r="C7" s="37" t="s">
        <v>59</v>
      </c>
      <c r="D7" s="37" t="s">
        <v>52</v>
      </c>
      <c r="E7" s="37" t="s">
        <v>60</v>
      </c>
      <c r="F7" s="38" t="s">
        <v>54</v>
      </c>
      <c r="G7" s="39"/>
      <c r="H7" s="40"/>
      <c r="I7" s="40"/>
      <c r="J7" s="69"/>
      <c r="K7" s="40"/>
      <c r="L7" s="70">
        <v>10000</v>
      </c>
      <c r="M7" s="71">
        <v>256</v>
      </c>
      <c r="N7" s="71">
        <v>84.11</v>
      </c>
      <c r="O7" s="71">
        <v>16</v>
      </c>
      <c r="P7" s="71">
        <v>106</v>
      </c>
      <c r="Q7" s="89">
        <f>ROUND(SUM(M7:P7),2)</f>
        <v>462.11</v>
      </c>
      <c r="R7" s="70">
        <v>0</v>
      </c>
      <c r="S7" s="90">
        <f>L7</f>
        <v>10000</v>
      </c>
      <c r="T7" s="91">
        <v>5000</v>
      </c>
      <c r="U7" s="91">
        <f>Q7</f>
        <v>462.11</v>
      </c>
      <c r="V7" s="70">
        <v>0</v>
      </c>
      <c r="W7" s="70">
        <v>0</v>
      </c>
      <c r="X7" s="70">
        <v>0</v>
      </c>
      <c r="Y7" s="70">
        <v>0</v>
      </c>
      <c r="Z7" s="70">
        <v>0</v>
      </c>
      <c r="AA7" s="70">
        <v>0</v>
      </c>
      <c r="AB7" s="90">
        <f>ROUND(SUM(V7:AA7),2)</f>
        <v>0</v>
      </c>
      <c r="AC7" s="90">
        <f>R7</f>
        <v>0</v>
      </c>
      <c r="AD7" s="93">
        <f>ROUND(S7-T8-U7-AB7-AC7,2)</f>
        <v>9537.89</v>
      </c>
      <c r="AE7" s="94">
        <f>ROUND(MAX((AD7)*{0.03;0.1;0.2;0.25;0.3;0.35;0.45}-{0;2520;16920;31920;52920;85920;181920},0),2)</f>
        <v>286.14</v>
      </c>
      <c r="AF7" s="95">
        <v>0</v>
      </c>
      <c r="AG7" s="95">
        <f>IF((AE7-AF7)&lt;0,0,AE7-AF7)</f>
        <v>286.14</v>
      </c>
      <c r="AH7" s="102">
        <f>ROUND(IF((L7-Q7-AG7)&lt;0,0,(L7-Q7-AG7)),2)</f>
        <v>9251.75</v>
      </c>
      <c r="AI7" s="103"/>
      <c r="AJ7" s="102">
        <f>AH7+AI7</f>
        <v>9251.75</v>
      </c>
      <c r="AK7" s="104"/>
      <c r="AL7" s="102">
        <f>AJ7+AG7+AK7</f>
        <v>9537.89</v>
      </c>
      <c r="AM7" s="104"/>
      <c r="AN7" s="104"/>
      <c r="AO7" s="104"/>
      <c r="AP7" s="104"/>
      <c r="AQ7" s="104"/>
      <c r="AR7" s="111"/>
      <c r="AS7" s="111"/>
      <c r="AT7" s="111"/>
    </row>
    <row r="8" s="12" customFormat="1" ht="18" customHeight="1" spans="1:46">
      <c r="A8" s="36"/>
      <c r="B8" s="37"/>
      <c r="C8" s="37"/>
      <c r="D8" s="37"/>
      <c r="E8" s="37"/>
      <c r="F8" s="38"/>
      <c r="G8" s="39"/>
      <c r="H8" s="40"/>
      <c r="I8" s="40"/>
      <c r="J8" s="69"/>
      <c r="K8" s="40"/>
      <c r="L8" s="70"/>
      <c r="M8" s="71"/>
      <c r="N8" s="71"/>
      <c r="O8" s="71"/>
      <c r="P8" s="71"/>
      <c r="Q8" s="89"/>
      <c r="R8" s="70"/>
      <c r="S8" s="90"/>
      <c r="T8" s="91"/>
      <c r="U8" s="91"/>
      <c r="V8" s="70"/>
      <c r="W8" s="70"/>
      <c r="X8" s="70"/>
      <c r="Y8" s="70"/>
      <c r="Z8" s="70"/>
      <c r="AA8" s="70"/>
      <c r="AB8" s="90"/>
      <c r="AC8" s="90"/>
      <c r="AD8" s="93"/>
      <c r="AE8" s="94"/>
      <c r="AF8" s="95"/>
      <c r="AG8" s="95"/>
      <c r="AH8" s="102"/>
      <c r="AI8" s="103"/>
      <c r="AJ8" s="102"/>
      <c r="AK8" s="104"/>
      <c r="AL8" s="102"/>
      <c r="AM8" s="104"/>
      <c r="AN8" s="104"/>
      <c r="AO8" s="104"/>
      <c r="AP8" s="104"/>
      <c r="AQ8" s="104"/>
      <c r="AR8" s="111"/>
      <c r="AS8" s="111"/>
      <c r="AT8" s="111"/>
    </row>
    <row r="9" s="12" customFormat="1" ht="18" customHeight="1" spans="1:46">
      <c r="A9" s="36"/>
      <c r="B9" s="37"/>
      <c r="C9" s="37"/>
      <c r="D9" s="37"/>
      <c r="E9" s="37"/>
      <c r="F9" s="38"/>
      <c r="G9" s="39"/>
      <c r="H9" s="40"/>
      <c r="I9" s="40"/>
      <c r="J9" s="69"/>
      <c r="K9" s="40"/>
      <c r="L9" s="70"/>
      <c r="M9" s="71"/>
      <c r="N9" s="71"/>
      <c r="O9" s="71"/>
      <c r="P9" s="71"/>
      <c r="Q9" s="89"/>
      <c r="R9" s="70"/>
      <c r="S9" s="90"/>
      <c r="T9" s="91"/>
      <c r="U9" s="91"/>
      <c r="V9" s="70"/>
      <c r="W9" s="70"/>
      <c r="X9" s="70"/>
      <c r="Y9" s="70"/>
      <c r="Z9" s="70"/>
      <c r="AA9" s="70"/>
      <c r="AB9" s="90"/>
      <c r="AC9" s="90"/>
      <c r="AD9" s="93"/>
      <c r="AE9" s="94"/>
      <c r="AF9" s="95"/>
      <c r="AG9" s="95"/>
      <c r="AH9" s="102"/>
      <c r="AI9" s="103"/>
      <c r="AJ9" s="102"/>
      <c r="AK9" s="104"/>
      <c r="AL9" s="102"/>
      <c r="AM9" s="104"/>
      <c r="AN9" s="104"/>
      <c r="AO9" s="104"/>
      <c r="AP9" s="104"/>
      <c r="AQ9" s="104"/>
      <c r="AR9" s="111"/>
      <c r="AS9" s="111"/>
      <c r="AT9" s="111"/>
    </row>
    <row r="10" s="12" customFormat="1" ht="18" customHeight="1" spans="1:46">
      <c r="A10" s="36"/>
      <c r="B10" s="37"/>
      <c r="C10" s="37"/>
      <c r="D10" s="37"/>
      <c r="E10" s="37"/>
      <c r="F10" s="38"/>
      <c r="G10" s="39"/>
      <c r="H10" s="40"/>
      <c r="I10" s="40"/>
      <c r="J10" s="69"/>
      <c r="K10" s="40"/>
      <c r="L10" s="70"/>
      <c r="M10" s="71"/>
      <c r="N10" s="71"/>
      <c r="O10" s="71"/>
      <c r="P10" s="71"/>
      <c r="Q10" s="89"/>
      <c r="R10" s="70"/>
      <c r="S10" s="90"/>
      <c r="T10" s="91"/>
      <c r="U10" s="91"/>
      <c r="V10" s="70"/>
      <c r="W10" s="70"/>
      <c r="X10" s="70"/>
      <c r="Y10" s="70"/>
      <c r="Z10" s="70"/>
      <c r="AA10" s="70"/>
      <c r="AB10" s="90"/>
      <c r="AC10" s="90"/>
      <c r="AD10" s="93"/>
      <c r="AE10" s="94"/>
      <c r="AF10" s="95"/>
      <c r="AG10" s="95"/>
      <c r="AH10" s="102"/>
      <c r="AI10" s="103"/>
      <c r="AJ10" s="102"/>
      <c r="AK10" s="104"/>
      <c r="AL10" s="102"/>
      <c r="AM10" s="104"/>
      <c r="AN10" s="104"/>
      <c r="AO10" s="104"/>
      <c r="AP10" s="104"/>
      <c r="AQ10" s="104"/>
      <c r="AR10" s="111"/>
      <c r="AS10" s="111"/>
      <c r="AT10" s="111"/>
    </row>
    <row r="11" s="13" customFormat="1" ht="18" customHeight="1" spans="1:46">
      <c r="A11" s="41"/>
      <c r="B11" s="42" t="s">
        <v>61</v>
      </c>
      <c r="C11" s="42"/>
      <c r="D11" s="43"/>
      <c r="E11" s="44"/>
      <c r="F11" s="45"/>
      <c r="G11" s="46"/>
      <c r="H11" s="45"/>
      <c r="I11" s="72"/>
      <c r="J11" s="73"/>
      <c r="K11" s="72"/>
      <c r="L11" s="74">
        <f t="shared" ref="L11:AL11" si="0">SUM(L4:L10)</f>
        <v>25000</v>
      </c>
      <c r="M11" s="74">
        <f t="shared" si="0"/>
        <v>1024</v>
      </c>
      <c r="N11" s="74">
        <f t="shared" si="0"/>
        <v>336.44</v>
      </c>
      <c r="O11" s="74">
        <f t="shared" si="0"/>
        <v>64</v>
      </c>
      <c r="P11" s="74">
        <f t="shared" si="0"/>
        <v>424</v>
      </c>
      <c r="Q11" s="74">
        <f t="shared" si="0"/>
        <v>1848.44</v>
      </c>
      <c r="R11" s="74">
        <f t="shared" si="0"/>
        <v>0</v>
      </c>
      <c r="S11" s="74">
        <f t="shared" si="0"/>
        <v>25000</v>
      </c>
      <c r="T11" s="74">
        <f>SUM(T5:T10)</f>
        <v>15000</v>
      </c>
      <c r="U11" s="74">
        <f t="shared" si="0"/>
        <v>1848.44</v>
      </c>
      <c r="V11" s="74">
        <f t="shared" si="0"/>
        <v>0</v>
      </c>
      <c r="W11" s="74">
        <f t="shared" si="0"/>
        <v>0</v>
      </c>
      <c r="X11" s="74">
        <f t="shared" si="0"/>
        <v>0</v>
      </c>
      <c r="Y11" s="74">
        <f t="shared" si="0"/>
        <v>0</v>
      </c>
      <c r="Z11" s="74">
        <f t="shared" si="0"/>
        <v>0</v>
      </c>
      <c r="AA11" s="74">
        <f t="shared" si="0"/>
        <v>0</v>
      </c>
      <c r="AB11" s="74">
        <f t="shared" si="0"/>
        <v>0</v>
      </c>
      <c r="AC11" s="74">
        <f t="shared" si="0"/>
        <v>0</v>
      </c>
      <c r="AD11" s="74">
        <f t="shared" si="0"/>
        <v>8151.56</v>
      </c>
      <c r="AE11" s="74">
        <f t="shared" si="0"/>
        <v>347.28</v>
      </c>
      <c r="AF11" s="74">
        <f t="shared" si="0"/>
        <v>0</v>
      </c>
      <c r="AG11" s="74">
        <f t="shared" si="0"/>
        <v>347.28</v>
      </c>
      <c r="AH11" s="74">
        <f t="shared" si="0"/>
        <v>22804.28</v>
      </c>
      <c r="AI11" s="105">
        <f t="shared" si="0"/>
        <v>0</v>
      </c>
      <c r="AJ11" s="74">
        <f t="shared" si="0"/>
        <v>22804.28</v>
      </c>
      <c r="AK11" s="74">
        <f t="shared" si="0"/>
        <v>0</v>
      </c>
      <c r="AL11" s="74">
        <f t="shared" si="0"/>
        <v>23151.56</v>
      </c>
      <c r="AM11" s="106"/>
      <c r="AN11" s="106"/>
      <c r="AO11" s="106"/>
      <c r="AP11" s="106"/>
      <c r="AQ11" s="106"/>
      <c r="AR11" s="45"/>
      <c r="AS11" s="45"/>
      <c r="AT11" s="112"/>
    </row>
    <row r="13" s="15" customFormat="1" spans="5:35">
      <c r="E13" s="16"/>
      <c r="G13" s="17"/>
      <c r="J13" s="18"/>
      <c r="AI13" s="19"/>
    </row>
    <row r="14" s="15" customFormat="1" spans="5:35">
      <c r="E14" s="16"/>
      <c r="G14" s="17"/>
      <c r="J14" s="18"/>
      <c r="AD14" s="96"/>
      <c r="AI14" s="19"/>
    </row>
    <row r="15" ht="18.75" customHeight="1" spans="2:30">
      <c r="B15" s="47" t="s">
        <v>29</v>
      </c>
      <c r="C15" s="47" t="s">
        <v>62</v>
      </c>
      <c r="D15" s="47" t="s">
        <v>30</v>
      </c>
      <c r="E15" s="47" t="s">
        <v>63</v>
      </c>
      <c r="AD15" s="10"/>
    </row>
    <row r="16" ht="18.75" customHeight="1" spans="2:5">
      <c r="B16" s="48">
        <f>AJ11</f>
        <v>22804.28</v>
      </c>
      <c r="C16" s="48">
        <f>AG11</f>
        <v>347.28</v>
      </c>
      <c r="D16" s="48">
        <f>AK11</f>
        <v>0</v>
      </c>
      <c r="E16" s="48">
        <f>B16+C16+D16</f>
        <v>23151.56</v>
      </c>
    </row>
    <row r="17" s="15" customFormat="1" spans="2:35">
      <c r="B17" s="49"/>
      <c r="C17" s="49"/>
      <c r="D17" s="49"/>
      <c r="E17" s="49"/>
      <c r="G17" s="17"/>
      <c r="J17" s="18"/>
      <c r="AI17" s="19"/>
    </row>
    <row r="18" s="14" customFormat="1" spans="1:35">
      <c r="A18" s="50" t="s">
        <v>64</v>
      </c>
      <c r="B18" s="51" t="s">
        <v>65</v>
      </c>
      <c r="C18" s="52"/>
      <c r="D18" s="52"/>
      <c r="E18" s="52"/>
      <c r="G18" s="53"/>
      <c r="J18" s="75"/>
      <c r="M18" s="76"/>
      <c r="AI18" s="107"/>
    </row>
    <row r="19" s="14" customFormat="1" spans="1:35">
      <c r="A19" s="54"/>
      <c r="B19" s="55" t="s">
        <v>66</v>
      </c>
      <c r="C19" s="52"/>
      <c r="D19" s="52"/>
      <c r="E19" s="52"/>
      <c r="G19" s="53"/>
      <c r="J19" s="75"/>
      <c r="M19" s="76"/>
      <c r="AI19" s="107"/>
    </row>
    <row r="20" s="14" customFormat="1" spans="1:35">
      <c r="A20" s="51"/>
      <c r="B20" s="55" t="s">
        <v>67</v>
      </c>
      <c r="C20" s="56"/>
      <c r="D20" s="56"/>
      <c r="E20" s="56"/>
      <c r="F20" s="56"/>
      <c r="G20" s="56"/>
      <c r="H20" s="56"/>
      <c r="I20" s="56"/>
      <c r="J20" s="77"/>
      <c r="K20" s="56"/>
      <c r="L20" s="56"/>
      <c r="M20" s="78"/>
      <c r="N20" s="56"/>
      <c r="O20" s="56"/>
      <c r="P20" s="56"/>
      <c r="AI20" s="107"/>
    </row>
    <row r="21" s="14" customFormat="1" customHeight="1" spans="1:35">
      <c r="A21" s="55"/>
      <c r="B21" s="55" t="s">
        <v>68</v>
      </c>
      <c r="C21" s="57"/>
      <c r="D21" s="57"/>
      <c r="E21" s="57"/>
      <c r="F21" s="57"/>
      <c r="G21" s="57"/>
      <c r="H21" s="57"/>
      <c r="I21" s="79"/>
      <c r="J21" s="80"/>
      <c r="K21" s="79"/>
      <c r="L21" s="79"/>
      <c r="M21" s="81"/>
      <c r="N21" s="79"/>
      <c r="O21" s="79"/>
      <c r="P21" s="79"/>
      <c r="AI21" s="107"/>
    </row>
    <row r="22" s="14" customFormat="1" customHeight="1" spans="1:35">
      <c r="A22" s="55"/>
      <c r="B22" s="55" t="s">
        <v>69</v>
      </c>
      <c r="C22" s="57"/>
      <c r="D22" s="57"/>
      <c r="E22" s="57"/>
      <c r="F22" s="57"/>
      <c r="G22" s="57"/>
      <c r="H22" s="57"/>
      <c r="I22" s="57"/>
      <c r="J22" s="82"/>
      <c r="K22" s="57"/>
      <c r="L22" s="79"/>
      <c r="M22" s="81"/>
      <c r="N22" s="79"/>
      <c r="O22" s="79"/>
      <c r="P22" s="79"/>
      <c r="AI22" s="107"/>
    </row>
    <row r="23" s="14" customFormat="1" customHeight="1" spans="1:35">
      <c r="A23" s="55"/>
      <c r="B23" s="55" t="s">
        <v>70</v>
      </c>
      <c r="C23" s="57"/>
      <c r="D23" s="57"/>
      <c r="E23" s="57"/>
      <c r="F23" s="57"/>
      <c r="G23" s="57"/>
      <c r="H23" s="57"/>
      <c r="I23" s="79"/>
      <c r="J23" s="80"/>
      <c r="K23" s="79"/>
      <c r="L23" s="79"/>
      <c r="M23" s="81"/>
      <c r="N23" s="79"/>
      <c r="O23" s="79"/>
      <c r="P23" s="79"/>
      <c r="AI23" s="107"/>
    </row>
    <row r="25" ht="11.25" customHeight="1" spans="2:2">
      <c r="B25" s="58" t="s">
        <v>71</v>
      </c>
    </row>
    <row r="26" spans="2:2">
      <c r="B26" s="59" t="s">
        <v>72</v>
      </c>
    </row>
    <row r="27" spans="2:2">
      <c r="B27" s="59" t="s">
        <v>73</v>
      </c>
    </row>
  </sheetData>
  <autoFilter ref="A3:AT1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3">
    <cfRule type="duplicateValues" dxfId="0" priority="10" stopIfTrue="1"/>
  </conditionalFormatting>
  <conditionalFormatting sqref="B18:B22">
    <cfRule type="duplicateValues" dxfId="0" priority="13" stopIfTrue="1"/>
  </conditionalFormatting>
  <conditionalFormatting sqref="B26:B27">
    <cfRule type="duplicateValues" dxfId="0" priority="1" stopIfTrue="1"/>
  </conditionalFormatting>
  <conditionalFormatting sqref="C15:C17">
    <cfRule type="duplicateValues" dxfId="0" priority="17" stopIfTrue="1"/>
    <cfRule type="expression" dxfId="1" priority="19" stopIfTrue="1">
      <formula>AND(COUNTIF($B$11:$B$65447,C15)+COUNTIF($B$1:$B$3,C15)&gt;1,NOT(ISBLANK(C15)))</formula>
    </cfRule>
    <cfRule type="expression" dxfId="1" priority="21" stopIfTrue="1">
      <formula>AND(COUNTIF($B$22:$B$65398,C15)+COUNTIF($B$1:$B$21,C15)&gt;1,NOT(ISBLANK(C15)))</formula>
    </cfRule>
    <cfRule type="expression" dxfId="1" priority="23" stopIfTrue="1">
      <formula>AND(COUNTIF($B$11:$B$65436,C15)+COUNTIF($B$1:$B$3,C15)&gt;1,NOT(ISBLANK(C15)))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74</v>
      </c>
      <c r="C4" s="37"/>
      <c r="D4" s="37" t="s">
        <v>52</v>
      </c>
      <c r="E4" s="37" t="s">
        <v>75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L4+IFERROR(VLOOKUP($E:$E,'（居民）工资表-9月'!$E:$S,15,0),0)</f>
        <v>15000</v>
      </c>
      <c r="T4" s="91">
        <f>5000+IFERROR(VLOOKUP($E:$E,'（居民）工资表-9月'!$E:$T,16,0),0)</f>
        <v>25000</v>
      </c>
      <c r="U4" s="91">
        <f>Q4+IFERROR(VLOOKUP($E:$E,'（居民）工资表-9月'!$E:$U,17,0),0)</f>
        <v>2625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R4+IFERROR(VLOOKUP($E:$E,'（居民）工资表-9月'!$E:$AC,25,0),0)</f>
        <v>0</v>
      </c>
      <c r="AD4" s="93">
        <f>ROUND(S4-T4-U4-AB4-AC4,2)</f>
        <v>-12625</v>
      </c>
      <c r="AE4" s="94">
        <f>ROUND(MAX((AD4)*{0.03;0.1;0.2;0.25;0.3;0.35;0.45}-{0;2520;16920;31920;52920;85920;181920},0),2)</f>
        <v>0</v>
      </c>
      <c r="AF4" s="95">
        <f>IFERROR(VLOOKUP(E:E,'（居民）工资表-9月'!E:AF,28,0)+VLOOKUP(E:E,'（居民）工资表-9月'!E:AG,29,0),0)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74</v>
      </c>
      <c r="C5" s="37"/>
      <c r="D5" s="37" t="s">
        <v>52</v>
      </c>
      <c r="E5" s="37" t="s">
        <v>76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L5+IFERROR(VLOOKUP($E:$E,'（居民）工资表-9月'!$E:$S,15,0),0)</f>
        <v>20000</v>
      </c>
      <c r="T5" s="91">
        <f>5000+IFERROR(VLOOKUP($E:$E,'（居民）工资表-9月'!$E:$T,16,0),0)</f>
        <v>25000</v>
      </c>
      <c r="U5" s="91">
        <f>Q5+IFERROR(VLOOKUP($E:$E,'（居民）工资表-9月'!$E:$U,17,0),0)</f>
        <v>3500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R5+IFERROR(VLOOKUP($E:$E,'（居民）工资表-9月'!$E:$AC,25,0),0)</f>
        <v>0</v>
      </c>
      <c r="AD5" s="93">
        <f t="shared" ref="AD5:AD23" si="6">ROUND(S5-T5-U5-AB5-AC5,2)</f>
        <v>-8500</v>
      </c>
      <c r="AE5" s="94">
        <f>ROUND(MAX((AD5)*{0.03;0.1;0.2;0.25;0.3;0.35;0.45}-{0;2520;16920;31920;52920;85920;181920},0),2)</f>
        <v>0</v>
      </c>
      <c r="AF5" s="95">
        <f>IFERROR(VLOOKUP(E:E,'（居民）工资表-9月'!E:AF,28,0)+VLOOKUP(E:E,'（居民）工资表-9月'!E:AG,29,0),0)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74</v>
      </c>
      <c r="C6" s="37"/>
      <c r="D6" s="37" t="s">
        <v>52</v>
      </c>
      <c r="E6" s="37" t="s">
        <v>77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L6+IFERROR(VLOOKUP($E:$E,'（居民）工资表-9月'!$E:$S,15,0),0)</f>
        <v>25000</v>
      </c>
      <c r="T6" s="91">
        <f>5000+IFERROR(VLOOKUP($E:$E,'（居民）工资表-9月'!$E:$T,16,0),0)</f>
        <v>25000</v>
      </c>
      <c r="U6" s="91">
        <f>Q6+IFERROR(VLOOKUP($E:$E,'（居民）工资表-9月'!$E:$U,17,0),0)</f>
        <v>4375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R6+IFERROR(VLOOKUP($E:$E,'（居民）工资表-9月'!$E:$AC,25,0),0)</f>
        <v>0</v>
      </c>
      <c r="AD6" s="93">
        <f t="shared" si="6"/>
        <v>-4375</v>
      </c>
      <c r="AE6" s="94">
        <f>ROUND(MAX((AD6)*{0.03;0.1;0.2;0.25;0.3;0.35;0.45}-{0;2520;16920;31920;52920;85920;181920},0),2)</f>
        <v>0</v>
      </c>
      <c r="AF6" s="95">
        <f>IFERROR(VLOOKUP(E:E,'（居民）工资表-9月'!E:AF,28,0)+VLOOKUP(E:E,'（居民）工资表-9月'!E:AG,29,0),0)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74</v>
      </c>
      <c r="C7" s="37"/>
      <c r="D7" s="37" t="s">
        <v>52</v>
      </c>
      <c r="E7" s="37" t="s">
        <v>78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L7+IFERROR(VLOOKUP($E:$E,'（居民）工资表-9月'!$E:$S,15,0),0)</f>
        <v>30000</v>
      </c>
      <c r="T7" s="91">
        <f>5000+IFERROR(VLOOKUP($E:$E,'（居民）工资表-9月'!$E:$T,16,0),0)</f>
        <v>25000</v>
      </c>
      <c r="U7" s="91">
        <f>Q7+IFERROR(VLOOKUP($E:$E,'（居民）工资表-9月'!$E:$U,17,0),0)</f>
        <v>5250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R7+IFERROR(VLOOKUP($E:$E,'（居民）工资表-9月'!$E:$AC,25,0),0)</f>
        <v>0</v>
      </c>
      <c r="AD7" s="93">
        <f t="shared" si="6"/>
        <v>-250</v>
      </c>
      <c r="AE7" s="94">
        <f>ROUND(MAX((AD7)*{0.03;0.1;0.2;0.25;0.3;0.35;0.45}-{0;2520;16920;31920;52920;85920;181920},0),2)</f>
        <v>0</v>
      </c>
      <c r="AF7" s="95">
        <f>IFERROR(VLOOKUP(E:E,'（居民）工资表-9月'!E:AF,28,0)+VLOOKUP(E:E,'（居民）工资表-9月'!E:AG,29,0),0)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74</v>
      </c>
      <c r="C8" s="37"/>
      <c r="D8" s="37" t="s">
        <v>52</v>
      </c>
      <c r="E8" s="37" t="s">
        <v>79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L8+IFERROR(VLOOKUP($E:$E,'（居民）工资表-9月'!$E:$S,15,0),0)</f>
        <v>35000</v>
      </c>
      <c r="T8" s="91">
        <f>5000+IFERROR(VLOOKUP($E:$E,'（居民）工资表-9月'!$E:$T,16,0),0)</f>
        <v>25000</v>
      </c>
      <c r="U8" s="91">
        <f>Q8+IFERROR(VLOOKUP($E:$E,'（居民）工资表-9月'!$E:$U,17,0),0)</f>
        <v>6125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R8+IFERROR(VLOOKUP($E:$E,'（居民）工资表-9月'!$E:$AC,25,0),0)</f>
        <v>0</v>
      </c>
      <c r="AD8" s="93">
        <f t="shared" si="6"/>
        <v>3875</v>
      </c>
      <c r="AE8" s="94">
        <f>ROUND(MAX((AD8)*{0.03;0.1;0.2;0.25;0.3;0.35;0.45}-{0;2520;16920;31920;52920;85920;181920},0),2)</f>
        <v>116.25</v>
      </c>
      <c r="AF8" s="95">
        <f>IFERROR(VLOOKUP(E:E,'（居民）工资表-9月'!E:AF,28,0)+VLOOKUP(E:E,'（居民）工资表-9月'!E:AG,29,0),0)</f>
        <v>93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74</v>
      </c>
      <c r="C9" s="37"/>
      <c r="D9" s="37" t="s">
        <v>52</v>
      </c>
      <c r="E9" s="37" t="s">
        <v>80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L9+IFERROR(VLOOKUP($E:$E,'（居民）工资表-9月'!$E:$S,15,0),0)</f>
        <v>40000</v>
      </c>
      <c r="T9" s="91">
        <f>5000+IFERROR(VLOOKUP($E:$E,'（居民）工资表-9月'!$E:$T,16,0),0)</f>
        <v>25000</v>
      </c>
      <c r="U9" s="91">
        <f>Q9+IFERROR(VLOOKUP($E:$E,'（居民）工资表-9月'!$E:$U,17,0),0)</f>
        <v>7000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R9+IFERROR(VLOOKUP($E:$E,'（居民）工资表-9月'!$E:$AC,25,0),0)</f>
        <v>0</v>
      </c>
      <c r="AD9" s="93">
        <f t="shared" si="6"/>
        <v>8000</v>
      </c>
      <c r="AE9" s="94">
        <f>ROUND(MAX((AD9)*{0.03;0.1;0.2;0.25;0.3;0.35;0.45}-{0;2520;16920;31920;52920;85920;181920},0),2)</f>
        <v>240</v>
      </c>
      <c r="AF9" s="95">
        <f>IFERROR(VLOOKUP(E:E,'（居民）工资表-9月'!E:AF,28,0)+VLOOKUP(E:E,'（居民）工资表-9月'!E:AG,29,0),0)</f>
        <v>192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74</v>
      </c>
      <c r="C10" s="37"/>
      <c r="D10" s="37" t="s">
        <v>52</v>
      </c>
      <c r="E10" s="37" t="s">
        <v>81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L10+IFERROR(VLOOKUP($E:$E,'（居民）工资表-9月'!$E:$S,15,0),0)</f>
        <v>45000</v>
      </c>
      <c r="T10" s="91">
        <f>5000+IFERROR(VLOOKUP($E:$E,'（居民）工资表-9月'!$E:$T,16,0),0)</f>
        <v>25000</v>
      </c>
      <c r="U10" s="91">
        <f>Q10+IFERROR(VLOOKUP($E:$E,'（居民）工资表-9月'!$E:$U,17,0),0)</f>
        <v>7875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R10+IFERROR(VLOOKUP($E:$E,'（居民）工资表-9月'!$E:$AC,25,0),0)</f>
        <v>0</v>
      </c>
      <c r="AD10" s="93">
        <f t="shared" si="6"/>
        <v>12125</v>
      </c>
      <c r="AE10" s="94">
        <f>ROUND(MAX((AD10)*{0.03;0.1;0.2;0.25;0.3;0.35;0.45}-{0;2520;16920;31920;52920;85920;181920},0),2)</f>
        <v>363.75</v>
      </c>
      <c r="AF10" s="95">
        <f>IFERROR(VLOOKUP(E:E,'（居民）工资表-9月'!E:AF,28,0)+VLOOKUP(E:E,'（居民）工资表-9月'!E:AG,29,0),0)</f>
        <v>291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74</v>
      </c>
      <c r="C11" s="37"/>
      <c r="D11" s="37" t="s">
        <v>52</v>
      </c>
      <c r="E11" s="37" t="s">
        <v>82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L11+IFERROR(VLOOKUP($E:$E,'（居民）工资表-9月'!$E:$S,15,0),0)</f>
        <v>50000</v>
      </c>
      <c r="T11" s="91">
        <f>5000+IFERROR(VLOOKUP($E:$E,'（居民）工资表-9月'!$E:$T,16,0),0)</f>
        <v>25000</v>
      </c>
      <c r="U11" s="91">
        <f>Q11+IFERROR(VLOOKUP($E:$E,'（居民）工资表-9月'!$E:$U,17,0),0)</f>
        <v>8750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R11+IFERROR(VLOOKUP($E:$E,'（居民）工资表-9月'!$E:$AC,25,0),0)</f>
        <v>0</v>
      </c>
      <c r="AD11" s="93">
        <f t="shared" si="6"/>
        <v>16250</v>
      </c>
      <c r="AE11" s="94">
        <f>ROUND(MAX((AD11)*{0.03;0.1;0.2;0.25;0.3;0.35;0.45}-{0;2520;16920;31920;52920;85920;181920},0),2)</f>
        <v>487.5</v>
      </c>
      <c r="AF11" s="95">
        <f>IFERROR(VLOOKUP(E:E,'（居民）工资表-9月'!E:AF,28,0)+VLOOKUP(E:E,'（居民）工资表-9月'!E:AG,29,0),0)</f>
        <v>390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74</v>
      </c>
      <c r="C12" s="37"/>
      <c r="D12" s="37" t="s">
        <v>52</v>
      </c>
      <c r="E12" s="37" t="s">
        <v>83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L12+IFERROR(VLOOKUP($E:$E,'（居民）工资表-9月'!$E:$S,15,0),0)</f>
        <v>55000</v>
      </c>
      <c r="T12" s="91">
        <f>5000+IFERROR(VLOOKUP($E:$E,'（居民）工资表-9月'!$E:$T,16,0),0)</f>
        <v>25000</v>
      </c>
      <c r="U12" s="91">
        <f>Q12+IFERROR(VLOOKUP($E:$E,'（居民）工资表-9月'!$E:$U,17,0),0)</f>
        <v>9625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R12+IFERROR(VLOOKUP($E:$E,'（居民）工资表-9月'!$E:$AC,25,0),0)</f>
        <v>0</v>
      </c>
      <c r="AD12" s="93">
        <f t="shared" si="6"/>
        <v>20375</v>
      </c>
      <c r="AE12" s="94">
        <f>ROUND(MAX((AD12)*{0.03;0.1;0.2;0.25;0.3;0.35;0.45}-{0;2520;16920;31920;52920;85920;181920},0),2)</f>
        <v>611.25</v>
      </c>
      <c r="AF12" s="95">
        <f>IFERROR(VLOOKUP(E:E,'（居民）工资表-9月'!E:AF,28,0)+VLOOKUP(E:E,'（居民）工资表-9月'!E:AG,29,0),0)</f>
        <v>489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74</v>
      </c>
      <c r="C13" s="37"/>
      <c r="D13" s="37" t="s">
        <v>52</v>
      </c>
      <c r="E13" s="37" t="s">
        <v>84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L13+IFERROR(VLOOKUP($E:$E,'（居民）工资表-9月'!$E:$S,15,0),0)</f>
        <v>60000</v>
      </c>
      <c r="T13" s="91">
        <f>5000+IFERROR(VLOOKUP($E:$E,'（居民）工资表-9月'!$E:$T,16,0),0)</f>
        <v>25000</v>
      </c>
      <c r="U13" s="91">
        <f>Q13+IFERROR(VLOOKUP($E:$E,'（居民）工资表-9月'!$E:$U,17,0),0)</f>
        <v>10500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R13+IFERROR(VLOOKUP($E:$E,'（居民）工资表-9月'!$E:$AC,25,0),0)</f>
        <v>0</v>
      </c>
      <c r="AD13" s="93">
        <f t="shared" si="6"/>
        <v>24500</v>
      </c>
      <c r="AE13" s="94">
        <f>ROUND(MAX((AD13)*{0.03;0.1;0.2;0.25;0.3;0.35;0.45}-{0;2520;16920;31920;52920;85920;181920},0),2)</f>
        <v>735</v>
      </c>
      <c r="AF13" s="95">
        <f>IFERROR(VLOOKUP(E:E,'（居民）工资表-9月'!E:AF,28,0)+VLOOKUP(E:E,'（居民）工资表-9月'!E:AG,29,0),0)</f>
        <v>588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74</v>
      </c>
      <c r="C14" s="37"/>
      <c r="D14" s="37" t="s">
        <v>52</v>
      </c>
      <c r="E14" s="37" t="s">
        <v>85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L14+IFERROR(VLOOKUP($E:$E,'（居民）工资表-9月'!$E:$S,15,0),0)</f>
        <v>65000</v>
      </c>
      <c r="T14" s="91">
        <f>5000+IFERROR(VLOOKUP($E:$E,'（居民）工资表-9月'!$E:$T,16,0),0)</f>
        <v>25000</v>
      </c>
      <c r="U14" s="91">
        <f>Q14+IFERROR(VLOOKUP($E:$E,'（居民）工资表-9月'!$E:$U,17,0),0)</f>
        <v>11375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R14+IFERROR(VLOOKUP($E:$E,'（居民）工资表-9月'!$E:$AC,25,0),0)</f>
        <v>0</v>
      </c>
      <c r="AD14" s="93">
        <f t="shared" si="6"/>
        <v>28625</v>
      </c>
      <c r="AE14" s="94">
        <f>ROUND(MAX((AD14)*{0.03;0.1;0.2;0.25;0.3;0.35;0.45}-{0;2520;16920;31920;52920;85920;181920},0),2)</f>
        <v>858.75</v>
      </c>
      <c r="AF14" s="95">
        <f>IFERROR(VLOOKUP(E:E,'（居民）工资表-9月'!E:AF,28,0)+VLOOKUP(E:E,'（居民）工资表-9月'!E:AG,29,0),0)</f>
        <v>687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74</v>
      </c>
      <c r="C15" s="37"/>
      <c r="D15" s="37" t="s">
        <v>52</v>
      </c>
      <c r="E15" s="37" t="s">
        <v>86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L15+IFERROR(VLOOKUP($E:$E,'（居民）工资表-9月'!$E:$S,15,0),0)</f>
        <v>70000</v>
      </c>
      <c r="T15" s="91">
        <f>5000+IFERROR(VLOOKUP($E:$E,'（居民）工资表-9月'!$E:$T,16,0),0)</f>
        <v>25000</v>
      </c>
      <c r="U15" s="91">
        <f>Q15+IFERROR(VLOOKUP($E:$E,'（居民）工资表-9月'!$E:$U,17,0),0)</f>
        <v>12250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R15+IFERROR(VLOOKUP($E:$E,'（居民）工资表-9月'!$E:$AC,25,0),0)</f>
        <v>0</v>
      </c>
      <c r="AD15" s="93">
        <f t="shared" si="6"/>
        <v>32750</v>
      </c>
      <c r="AE15" s="94">
        <f>ROUND(MAX((AD15)*{0.03;0.1;0.2;0.25;0.3;0.35;0.45}-{0;2520;16920;31920;52920;85920;181920},0),2)</f>
        <v>982.5</v>
      </c>
      <c r="AF15" s="95">
        <f>IFERROR(VLOOKUP(E:E,'（居民）工资表-9月'!E:AF,28,0)+VLOOKUP(E:E,'（居民）工资表-9月'!E:AG,29,0),0)</f>
        <v>786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74</v>
      </c>
      <c r="C16" s="37"/>
      <c r="D16" s="37" t="s">
        <v>52</v>
      </c>
      <c r="E16" s="37" t="s">
        <v>87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L16+IFERROR(VLOOKUP($E:$E,'（居民）工资表-9月'!$E:$S,15,0),0)</f>
        <v>75000</v>
      </c>
      <c r="T16" s="91">
        <f>5000+IFERROR(VLOOKUP($E:$E,'（居民）工资表-9月'!$E:$T,16,0),0)</f>
        <v>25000</v>
      </c>
      <c r="U16" s="91">
        <f>Q16+IFERROR(VLOOKUP($E:$E,'（居民）工资表-9月'!$E:$U,17,0),0)</f>
        <v>13125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R16+IFERROR(VLOOKUP($E:$E,'（居民）工资表-9月'!$E:$AC,25,0),0)</f>
        <v>0</v>
      </c>
      <c r="AD16" s="93">
        <f t="shared" si="6"/>
        <v>36875</v>
      </c>
      <c r="AE16" s="94">
        <f>ROUND(MAX((AD16)*{0.03;0.1;0.2;0.25;0.3;0.35;0.45}-{0;2520;16920;31920;52920;85920;181920},0),2)</f>
        <v>1167.5</v>
      </c>
      <c r="AF16" s="95">
        <f>IFERROR(VLOOKUP(E:E,'（居民）工资表-9月'!E:AF,28,0)+VLOOKUP(E:E,'（居民）工资表-9月'!E:AG,29,0),0)</f>
        <v>885</v>
      </c>
      <c r="AG16" s="95">
        <f t="shared" si="7"/>
        <v>282.5</v>
      </c>
      <c r="AH16" s="102">
        <f t="shared" si="8"/>
        <v>12092.5</v>
      </c>
      <c r="AI16" s="103"/>
      <c r="AJ16" s="102">
        <f t="shared" si="9"/>
        <v>12092.5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74</v>
      </c>
      <c r="C17" s="37"/>
      <c r="D17" s="37" t="s">
        <v>52</v>
      </c>
      <c r="E17" s="37" t="s">
        <v>88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L17+IFERROR(VLOOKUP($E:$E,'（居民）工资表-9月'!$E:$S,15,0),0)</f>
        <v>80000</v>
      </c>
      <c r="T17" s="91">
        <f>5000+IFERROR(VLOOKUP($E:$E,'（居民）工资表-9月'!$E:$T,16,0),0)</f>
        <v>25000</v>
      </c>
      <c r="U17" s="91">
        <f>Q17+IFERROR(VLOOKUP($E:$E,'（居民）工资表-9月'!$E:$U,17,0),0)</f>
        <v>14000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R17+IFERROR(VLOOKUP($E:$E,'（居民）工资表-9月'!$E:$AC,25,0),0)</f>
        <v>0</v>
      </c>
      <c r="AD17" s="93">
        <f t="shared" si="6"/>
        <v>41000</v>
      </c>
      <c r="AE17" s="94">
        <f>ROUND(MAX((AD17)*{0.03;0.1;0.2;0.25;0.3;0.35;0.45}-{0;2520;16920;31920;52920;85920;181920},0),2)</f>
        <v>1580</v>
      </c>
      <c r="AF17" s="95">
        <f>IFERROR(VLOOKUP(E:E,'（居民）工资表-9月'!E:AF,28,0)+VLOOKUP(E:E,'（居民）工资表-9月'!E:AG,29,0),0)</f>
        <v>984</v>
      </c>
      <c r="AG17" s="95">
        <f t="shared" si="7"/>
        <v>596</v>
      </c>
      <c r="AH17" s="102">
        <f t="shared" si="8"/>
        <v>12604</v>
      </c>
      <c r="AI17" s="103"/>
      <c r="AJ17" s="102">
        <f t="shared" si="9"/>
        <v>12604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74</v>
      </c>
      <c r="C18" s="37"/>
      <c r="D18" s="37" t="s">
        <v>52</v>
      </c>
      <c r="E18" s="37" t="s">
        <v>89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L18+IFERROR(VLOOKUP($E:$E,'（居民）工资表-9月'!$E:$S,15,0),0)</f>
        <v>85000</v>
      </c>
      <c r="T18" s="91">
        <f>5000+IFERROR(VLOOKUP($E:$E,'（居民）工资表-9月'!$E:$T,16,0),0)</f>
        <v>25000</v>
      </c>
      <c r="U18" s="91">
        <f>Q18+IFERROR(VLOOKUP($E:$E,'（居民）工资表-9月'!$E:$U,17,0),0)</f>
        <v>14875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R18+IFERROR(VLOOKUP($E:$E,'（居民）工资表-9月'!$E:$AC,25,0),0)</f>
        <v>0</v>
      </c>
      <c r="AD18" s="93">
        <f t="shared" si="6"/>
        <v>45125</v>
      </c>
      <c r="AE18" s="94">
        <f>ROUND(MAX((AD18)*{0.03;0.1;0.2;0.25;0.3;0.35;0.45}-{0;2520;16920;31920;52920;85920;181920},0),2)</f>
        <v>1992.5</v>
      </c>
      <c r="AF18" s="95">
        <f>IFERROR(VLOOKUP(E:E,'（居民）工资表-9月'!E:AF,28,0)+VLOOKUP(E:E,'（居民）工资表-9月'!E:AG,29,0),0)</f>
        <v>1090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74</v>
      </c>
      <c r="C19" s="37"/>
      <c r="D19" s="37" t="s">
        <v>52</v>
      </c>
      <c r="E19" s="37" t="s">
        <v>90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L19+IFERROR(VLOOKUP($E:$E,'（居民）工资表-9月'!$E:$S,15,0),0)</f>
        <v>90000</v>
      </c>
      <c r="T19" s="91">
        <f>5000+IFERROR(VLOOKUP($E:$E,'（居民）工资表-9月'!$E:$T,16,0),0)</f>
        <v>25000</v>
      </c>
      <c r="U19" s="91">
        <f>Q19+IFERROR(VLOOKUP($E:$E,'（居民）工资表-9月'!$E:$U,17,0),0)</f>
        <v>15750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R19+IFERROR(VLOOKUP($E:$E,'（居民）工资表-9月'!$E:$AC,25,0),0)</f>
        <v>0</v>
      </c>
      <c r="AD19" s="93">
        <f t="shared" si="6"/>
        <v>49250</v>
      </c>
      <c r="AE19" s="94">
        <f>ROUND(MAX((AD19)*{0.03;0.1;0.2;0.25;0.3;0.35;0.45}-{0;2520;16920;31920;52920;85920;181920},0),2)</f>
        <v>2405</v>
      </c>
      <c r="AF19" s="95">
        <f>IFERROR(VLOOKUP(E:E,'（居民）工资表-9月'!E:AF,28,0)+VLOOKUP(E:E,'（居民）工资表-9月'!E:AG,29,0),0)</f>
        <v>1420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74</v>
      </c>
      <c r="C20" s="37"/>
      <c r="D20" s="37" t="s">
        <v>52</v>
      </c>
      <c r="E20" s="37" t="s">
        <v>91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L20+IFERROR(VLOOKUP($E:$E,'（居民）工资表-9月'!$E:$S,15,0),0)</f>
        <v>95000</v>
      </c>
      <c r="T20" s="91">
        <f>5000+IFERROR(VLOOKUP($E:$E,'（居民）工资表-9月'!$E:$T,16,0),0)</f>
        <v>25000</v>
      </c>
      <c r="U20" s="91">
        <f>Q20+IFERROR(VLOOKUP($E:$E,'（居民）工资表-9月'!$E:$U,17,0),0)</f>
        <v>16625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R20+IFERROR(VLOOKUP($E:$E,'（居民）工资表-9月'!$E:$AC,25,0),0)</f>
        <v>0</v>
      </c>
      <c r="AD20" s="93">
        <f t="shared" si="6"/>
        <v>53375</v>
      </c>
      <c r="AE20" s="94">
        <f>ROUND(MAX((AD20)*{0.03;0.1;0.2;0.25;0.3;0.35;0.45}-{0;2520;16920;31920;52920;85920;181920},0),2)</f>
        <v>2817.5</v>
      </c>
      <c r="AF20" s="95">
        <f>IFERROR(VLOOKUP(E:E,'（居民）工资表-9月'!E:AF,28,0)+VLOOKUP(E:E,'（居民）工资表-9月'!E:AG,29,0),0)</f>
        <v>1750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74</v>
      </c>
      <c r="C21" s="37"/>
      <c r="D21" s="37" t="s">
        <v>52</v>
      </c>
      <c r="E21" s="37" t="s">
        <v>92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L21+IFERROR(VLOOKUP($E:$E,'（居民）工资表-9月'!$E:$S,15,0),0)</f>
        <v>100000</v>
      </c>
      <c r="T21" s="91">
        <f>5000+IFERROR(VLOOKUP($E:$E,'（居民）工资表-9月'!$E:$T,16,0),0)</f>
        <v>25000</v>
      </c>
      <c r="U21" s="91">
        <f>Q21+IFERROR(VLOOKUP($E:$E,'（居民）工资表-9月'!$E:$U,17,0),0)</f>
        <v>17500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R21+IFERROR(VLOOKUP($E:$E,'（居民）工资表-9月'!$E:$AC,25,0),0)</f>
        <v>0</v>
      </c>
      <c r="AD21" s="93">
        <f t="shared" si="6"/>
        <v>57500</v>
      </c>
      <c r="AE21" s="94">
        <f>ROUND(MAX((AD21)*{0.03;0.1;0.2;0.25;0.3;0.35;0.45}-{0;2520;16920;31920;52920;85920;181920},0),2)</f>
        <v>3230</v>
      </c>
      <c r="AF21" s="95">
        <f>IFERROR(VLOOKUP(E:E,'（居民）工资表-9月'!E:AF,28,0)+VLOOKUP(E:E,'（居民）工资表-9月'!E:AG,29,0),0)</f>
        <v>2080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74</v>
      </c>
      <c r="C22" s="37"/>
      <c r="D22" s="37" t="s">
        <v>52</v>
      </c>
      <c r="E22" s="37" t="s">
        <v>93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L22+IFERROR(VLOOKUP($E:$E,'（居民）工资表-9月'!$E:$S,15,0),0)</f>
        <v>105000</v>
      </c>
      <c r="T22" s="91">
        <f>5000+IFERROR(VLOOKUP($E:$E,'（居民）工资表-9月'!$E:$T,16,0),0)</f>
        <v>25000</v>
      </c>
      <c r="U22" s="91">
        <f>Q22+IFERROR(VLOOKUP($E:$E,'（居民）工资表-9月'!$E:$U,17,0),0)</f>
        <v>18375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R22+IFERROR(VLOOKUP($E:$E,'（居民）工资表-9月'!$E:$AC,25,0),0)</f>
        <v>0</v>
      </c>
      <c r="AD22" s="93">
        <f t="shared" si="6"/>
        <v>61625</v>
      </c>
      <c r="AE22" s="94">
        <f>ROUND(MAX((AD22)*{0.03;0.1;0.2;0.25;0.3;0.35;0.45}-{0;2520;16920;31920;52920;85920;181920},0),2)</f>
        <v>3642.5</v>
      </c>
      <c r="AF22" s="95">
        <f>IFERROR(VLOOKUP(E:E,'（居民）工资表-9月'!E:AF,28,0)+VLOOKUP(E:E,'（居民）工资表-9月'!E:AG,29,0),0)</f>
        <v>2410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74</v>
      </c>
      <c r="C23" s="37"/>
      <c r="D23" s="37" t="s">
        <v>52</v>
      </c>
      <c r="E23" s="37" t="s">
        <v>94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L23+IFERROR(VLOOKUP($E:$E,'（居民）工资表-9月'!$E:$S,15,0),0)</f>
        <v>110000</v>
      </c>
      <c r="T23" s="91">
        <f>5000+IFERROR(VLOOKUP($E:$E,'（居民）工资表-9月'!$E:$T,16,0),0)</f>
        <v>25000</v>
      </c>
      <c r="U23" s="91">
        <f>Q23+IFERROR(VLOOKUP($E:$E,'（居民）工资表-9月'!$E:$U,17,0),0)</f>
        <v>19250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R23+IFERROR(VLOOKUP($E:$E,'（居民）工资表-9月'!$E:$AC,25,0),0)</f>
        <v>0</v>
      </c>
      <c r="AD23" s="93">
        <f t="shared" si="6"/>
        <v>65750</v>
      </c>
      <c r="AE23" s="94">
        <f>ROUND(MAX((AD23)*{0.03;0.1;0.2;0.25;0.3;0.35;0.45}-{0;2520;16920;31920;52920;85920;181920},0),2)</f>
        <v>4055</v>
      </c>
      <c r="AF23" s="95">
        <f>IFERROR(VLOOKUP(E:E,'（居民）工资表-9月'!E:AF,28,0)+VLOOKUP(E:E,'（居民）工资表-9月'!E:AG,29,0),0)</f>
        <v>2740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61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1250000</v>
      </c>
      <c r="T24" s="74">
        <f t="shared" si="12"/>
        <v>500000</v>
      </c>
      <c r="U24" s="74">
        <f t="shared" si="12"/>
        <v>218750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531250</v>
      </c>
      <c r="AE24" s="74">
        <f t="shared" si="12"/>
        <v>25285</v>
      </c>
      <c r="AF24" s="74">
        <f t="shared" si="12"/>
        <v>16875</v>
      </c>
      <c r="AG24" s="74">
        <f t="shared" si="12"/>
        <v>8410</v>
      </c>
      <c r="AH24" s="74">
        <f t="shared" si="12"/>
        <v>197840</v>
      </c>
      <c r="AI24" s="105">
        <f t="shared" si="12"/>
        <v>0</v>
      </c>
      <c r="AJ24" s="74">
        <f t="shared" si="12"/>
        <v>197840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62</v>
      </c>
      <c r="D28" s="47" t="s">
        <v>30</v>
      </c>
      <c r="E28" s="47" t="s">
        <v>63</v>
      </c>
      <c r="AD28" s="10"/>
    </row>
    <row r="29" ht="18.75" customHeight="1" spans="2:5">
      <c r="B29" s="48">
        <f>AJ24</f>
        <v>197840</v>
      </c>
      <c r="C29" s="48">
        <f>AG24</f>
        <v>8410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64</v>
      </c>
      <c r="B31" s="51" t="s">
        <v>65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66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67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68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69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70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71</v>
      </c>
    </row>
    <row r="39" spans="2:2">
      <c r="B39" s="59" t="s">
        <v>72</v>
      </c>
    </row>
    <row r="40" spans="2:2">
      <c r="B40" s="59" t="s">
        <v>73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74</v>
      </c>
      <c r="C4" s="37"/>
      <c r="D4" s="37" t="s">
        <v>52</v>
      </c>
      <c r="E4" s="37" t="s">
        <v>75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L4+IFERROR(VLOOKUP($E:$E,'（居民）工资表-10月'!$E:$S,15,0),0)</f>
        <v>18000</v>
      </c>
      <c r="T4" s="91">
        <f>5000+IFERROR(VLOOKUP($E:$E,'（居民）工资表-10月'!$E:$T,16,0),0)</f>
        <v>30000</v>
      </c>
      <c r="U4" s="91">
        <f>Q4+IFERROR(VLOOKUP($E:$E,'（居民）工资表-10月'!$E:$U,17,0),0)</f>
        <v>3150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R4+IFERROR(VLOOKUP($E:$E,'（居民）工资表-10月'!$E:$AC,25,0),0)</f>
        <v>0</v>
      </c>
      <c r="AD4" s="93">
        <f>ROUND(S4-T4-U4-AB4-AC4,2)</f>
        <v>-15150</v>
      </c>
      <c r="AE4" s="94">
        <f>ROUND(MAX((AD4)*{0.03;0.1;0.2;0.25;0.3;0.35;0.45}-{0;2520;16920;31920;52920;85920;181920},0),2)</f>
        <v>0</v>
      </c>
      <c r="AF4" s="95">
        <f>IFERROR(VLOOKUP(E:E,'（居民）工资表-10月'!E:AF,28,0)+VLOOKUP(E:E,'（居民）工资表-10月'!E:AG,29,0),0)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74</v>
      </c>
      <c r="C5" s="37"/>
      <c r="D5" s="37" t="s">
        <v>52</v>
      </c>
      <c r="E5" s="37" t="s">
        <v>76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L5+IFERROR(VLOOKUP($E:$E,'（居民）工资表-10月'!$E:$S,15,0),0)</f>
        <v>24000</v>
      </c>
      <c r="T5" s="91">
        <f>5000+IFERROR(VLOOKUP($E:$E,'（居民）工资表-10月'!$E:$T,16,0),0)</f>
        <v>30000</v>
      </c>
      <c r="U5" s="91">
        <f>Q5+IFERROR(VLOOKUP($E:$E,'（居民）工资表-10月'!$E:$U,17,0),0)</f>
        <v>4200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R5+IFERROR(VLOOKUP($E:$E,'（居民）工资表-10月'!$E:$AC,25,0),0)</f>
        <v>0</v>
      </c>
      <c r="AD5" s="93">
        <f t="shared" ref="AD5:AD23" si="6">ROUND(S5-T5-U5-AB5-AC5,2)</f>
        <v>-10200</v>
      </c>
      <c r="AE5" s="94">
        <f>ROUND(MAX((AD5)*{0.03;0.1;0.2;0.25;0.3;0.35;0.45}-{0;2520;16920;31920;52920;85920;181920},0),2)</f>
        <v>0</v>
      </c>
      <c r="AF5" s="95">
        <f>IFERROR(VLOOKUP(E:E,'（居民）工资表-10月'!E:AF,28,0)+VLOOKUP(E:E,'（居民）工资表-10月'!E:AG,29,0),0)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74</v>
      </c>
      <c r="C6" s="37"/>
      <c r="D6" s="37" t="s">
        <v>52</v>
      </c>
      <c r="E6" s="37" t="s">
        <v>77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L6+IFERROR(VLOOKUP($E:$E,'（居民）工资表-10月'!$E:$S,15,0),0)</f>
        <v>30000</v>
      </c>
      <c r="T6" s="91">
        <f>5000+IFERROR(VLOOKUP($E:$E,'（居民）工资表-10月'!$E:$T,16,0),0)</f>
        <v>30000</v>
      </c>
      <c r="U6" s="91">
        <f>Q6+IFERROR(VLOOKUP($E:$E,'（居民）工资表-10月'!$E:$U,17,0),0)</f>
        <v>5250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R6+IFERROR(VLOOKUP($E:$E,'（居民）工资表-10月'!$E:$AC,25,0),0)</f>
        <v>0</v>
      </c>
      <c r="AD6" s="93">
        <f t="shared" si="6"/>
        <v>-5250</v>
      </c>
      <c r="AE6" s="94">
        <f>ROUND(MAX((AD6)*{0.03;0.1;0.2;0.25;0.3;0.35;0.45}-{0;2520;16920;31920;52920;85920;181920},0),2)</f>
        <v>0</v>
      </c>
      <c r="AF6" s="95">
        <f>IFERROR(VLOOKUP(E:E,'（居民）工资表-10月'!E:AF,28,0)+VLOOKUP(E:E,'（居民）工资表-10月'!E:AG,29,0),0)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74</v>
      </c>
      <c r="C7" s="37"/>
      <c r="D7" s="37" t="s">
        <v>52</v>
      </c>
      <c r="E7" s="37" t="s">
        <v>78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L7+IFERROR(VLOOKUP($E:$E,'（居民）工资表-10月'!$E:$S,15,0),0)</f>
        <v>36000</v>
      </c>
      <c r="T7" s="91">
        <f>5000+IFERROR(VLOOKUP($E:$E,'（居民）工资表-10月'!$E:$T,16,0),0)</f>
        <v>30000</v>
      </c>
      <c r="U7" s="91">
        <f>Q7+IFERROR(VLOOKUP($E:$E,'（居民）工资表-10月'!$E:$U,17,0),0)</f>
        <v>6300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R7+IFERROR(VLOOKUP($E:$E,'（居民）工资表-10月'!$E:$AC,25,0),0)</f>
        <v>0</v>
      </c>
      <c r="AD7" s="93">
        <f t="shared" si="6"/>
        <v>-300</v>
      </c>
      <c r="AE7" s="94">
        <f>ROUND(MAX((AD7)*{0.03;0.1;0.2;0.25;0.3;0.35;0.45}-{0;2520;16920;31920;52920;85920;181920},0),2)</f>
        <v>0</v>
      </c>
      <c r="AF7" s="95">
        <f>IFERROR(VLOOKUP(E:E,'（居民）工资表-10月'!E:AF,28,0)+VLOOKUP(E:E,'（居民）工资表-10月'!E:AG,29,0),0)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74</v>
      </c>
      <c r="C8" s="37"/>
      <c r="D8" s="37" t="s">
        <v>52</v>
      </c>
      <c r="E8" s="37" t="s">
        <v>79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L8+IFERROR(VLOOKUP($E:$E,'（居民）工资表-10月'!$E:$S,15,0),0)</f>
        <v>42000</v>
      </c>
      <c r="T8" s="91">
        <f>5000+IFERROR(VLOOKUP($E:$E,'（居民）工资表-10月'!$E:$T,16,0),0)</f>
        <v>30000</v>
      </c>
      <c r="U8" s="91">
        <f>Q8+IFERROR(VLOOKUP($E:$E,'（居民）工资表-10月'!$E:$U,17,0),0)</f>
        <v>7350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R8+IFERROR(VLOOKUP($E:$E,'（居民）工资表-10月'!$E:$AC,25,0),0)</f>
        <v>0</v>
      </c>
      <c r="AD8" s="93">
        <f t="shared" si="6"/>
        <v>4650</v>
      </c>
      <c r="AE8" s="94">
        <f>ROUND(MAX((AD8)*{0.03;0.1;0.2;0.25;0.3;0.35;0.45}-{0;2520;16920;31920;52920;85920;181920},0),2)</f>
        <v>139.5</v>
      </c>
      <c r="AF8" s="95">
        <f>IFERROR(VLOOKUP(E:E,'（居民）工资表-10月'!E:AF,28,0)+VLOOKUP(E:E,'（居民）工资表-10月'!E:AG,29,0),0)</f>
        <v>116.25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74</v>
      </c>
      <c r="C9" s="37"/>
      <c r="D9" s="37" t="s">
        <v>52</v>
      </c>
      <c r="E9" s="37" t="s">
        <v>80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L9+IFERROR(VLOOKUP($E:$E,'（居民）工资表-10月'!$E:$S,15,0),0)</f>
        <v>48000</v>
      </c>
      <c r="T9" s="91">
        <f>5000+IFERROR(VLOOKUP($E:$E,'（居民）工资表-10月'!$E:$T,16,0),0)</f>
        <v>30000</v>
      </c>
      <c r="U9" s="91">
        <f>Q9+IFERROR(VLOOKUP($E:$E,'（居民）工资表-10月'!$E:$U,17,0),0)</f>
        <v>8400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R9+IFERROR(VLOOKUP($E:$E,'（居民）工资表-10月'!$E:$AC,25,0),0)</f>
        <v>0</v>
      </c>
      <c r="AD9" s="93">
        <f t="shared" si="6"/>
        <v>9600</v>
      </c>
      <c r="AE9" s="94">
        <f>ROUND(MAX((AD9)*{0.03;0.1;0.2;0.25;0.3;0.35;0.45}-{0;2520;16920;31920;52920;85920;181920},0),2)</f>
        <v>288</v>
      </c>
      <c r="AF9" s="95">
        <f>IFERROR(VLOOKUP(E:E,'（居民）工资表-10月'!E:AF,28,0)+VLOOKUP(E:E,'（居民）工资表-10月'!E:AG,29,0),0)</f>
        <v>240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74</v>
      </c>
      <c r="C10" s="37"/>
      <c r="D10" s="37" t="s">
        <v>52</v>
      </c>
      <c r="E10" s="37" t="s">
        <v>81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L10+IFERROR(VLOOKUP($E:$E,'（居民）工资表-10月'!$E:$S,15,0),0)</f>
        <v>54000</v>
      </c>
      <c r="T10" s="91">
        <f>5000+IFERROR(VLOOKUP($E:$E,'（居民）工资表-10月'!$E:$T,16,0),0)</f>
        <v>30000</v>
      </c>
      <c r="U10" s="91">
        <f>Q10+IFERROR(VLOOKUP($E:$E,'（居民）工资表-10月'!$E:$U,17,0),0)</f>
        <v>9450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R10+IFERROR(VLOOKUP($E:$E,'（居民）工资表-10月'!$E:$AC,25,0),0)</f>
        <v>0</v>
      </c>
      <c r="AD10" s="93">
        <f t="shared" si="6"/>
        <v>14550</v>
      </c>
      <c r="AE10" s="94">
        <f>ROUND(MAX((AD10)*{0.03;0.1;0.2;0.25;0.3;0.35;0.45}-{0;2520;16920;31920;52920;85920;181920},0),2)</f>
        <v>436.5</v>
      </c>
      <c r="AF10" s="95">
        <f>IFERROR(VLOOKUP(E:E,'（居民）工资表-10月'!E:AF,28,0)+VLOOKUP(E:E,'（居民）工资表-10月'!E:AG,29,0),0)</f>
        <v>363.75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74</v>
      </c>
      <c r="C11" s="37"/>
      <c r="D11" s="37" t="s">
        <v>52</v>
      </c>
      <c r="E11" s="37" t="s">
        <v>82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L11+IFERROR(VLOOKUP($E:$E,'（居民）工资表-10月'!$E:$S,15,0),0)</f>
        <v>60000</v>
      </c>
      <c r="T11" s="91">
        <f>5000+IFERROR(VLOOKUP($E:$E,'（居民）工资表-10月'!$E:$T,16,0),0)</f>
        <v>30000</v>
      </c>
      <c r="U11" s="91">
        <f>Q11+IFERROR(VLOOKUP($E:$E,'（居民）工资表-10月'!$E:$U,17,0),0)</f>
        <v>10500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R11+IFERROR(VLOOKUP($E:$E,'（居民）工资表-10月'!$E:$AC,25,0),0)</f>
        <v>0</v>
      </c>
      <c r="AD11" s="93">
        <f t="shared" si="6"/>
        <v>19500</v>
      </c>
      <c r="AE11" s="94">
        <f>ROUND(MAX((AD11)*{0.03;0.1;0.2;0.25;0.3;0.35;0.45}-{0;2520;16920;31920;52920;85920;181920},0),2)</f>
        <v>585</v>
      </c>
      <c r="AF11" s="95">
        <f>IFERROR(VLOOKUP(E:E,'（居民）工资表-10月'!E:AF,28,0)+VLOOKUP(E:E,'（居民）工资表-10月'!E:AG,29,0),0)</f>
        <v>487.5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74</v>
      </c>
      <c r="C12" s="37"/>
      <c r="D12" s="37" t="s">
        <v>52</v>
      </c>
      <c r="E12" s="37" t="s">
        <v>83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L12+IFERROR(VLOOKUP($E:$E,'（居民）工资表-10月'!$E:$S,15,0),0)</f>
        <v>66000</v>
      </c>
      <c r="T12" s="91">
        <f>5000+IFERROR(VLOOKUP($E:$E,'（居民）工资表-10月'!$E:$T,16,0),0)</f>
        <v>30000</v>
      </c>
      <c r="U12" s="91">
        <f>Q12+IFERROR(VLOOKUP($E:$E,'（居民）工资表-10月'!$E:$U,17,0),0)</f>
        <v>11550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R12+IFERROR(VLOOKUP($E:$E,'（居民）工资表-10月'!$E:$AC,25,0),0)</f>
        <v>0</v>
      </c>
      <c r="AD12" s="93">
        <f t="shared" si="6"/>
        <v>24450</v>
      </c>
      <c r="AE12" s="94">
        <f>ROUND(MAX((AD12)*{0.03;0.1;0.2;0.25;0.3;0.35;0.45}-{0;2520;16920;31920;52920;85920;181920},0),2)</f>
        <v>733.5</v>
      </c>
      <c r="AF12" s="95">
        <f>IFERROR(VLOOKUP(E:E,'（居民）工资表-10月'!E:AF,28,0)+VLOOKUP(E:E,'（居民）工资表-10月'!E:AG,29,0),0)</f>
        <v>611.25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74</v>
      </c>
      <c r="C13" s="37"/>
      <c r="D13" s="37" t="s">
        <v>52</v>
      </c>
      <c r="E13" s="37" t="s">
        <v>84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L13+IFERROR(VLOOKUP($E:$E,'（居民）工资表-10月'!$E:$S,15,0),0)</f>
        <v>72000</v>
      </c>
      <c r="T13" s="91">
        <f>5000+IFERROR(VLOOKUP($E:$E,'（居民）工资表-10月'!$E:$T,16,0),0)</f>
        <v>30000</v>
      </c>
      <c r="U13" s="91">
        <f>Q13+IFERROR(VLOOKUP($E:$E,'（居民）工资表-10月'!$E:$U,17,0),0)</f>
        <v>12600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R13+IFERROR(VLOOKUP($E:$E,'（居民）工资表-10月'!$E:$AC,25,0),0)</f>
        <v>0</v>
      </c>
      <c r="AD13" s="93">
        <f t="shared" si="6"/>
        <v>29400</v>
      </c>
      <c r="AE13" s="94">
        <f>ROUND(MAX((AD13)*{0.03;0.1;0.2;0.25;0.3;0.35;0.45}-{0;2520;16920;31920;52920;85920;181920},0),2)</f>
        <v>882</v>
      </c>
      <c r="AF13" s="95">
        <f>IFERROR(VLOOKUP(E:E,'（居民）工资表-10月'!E:AF,28,0)+VLOOKUP(E:E,'（居民）工资表-10月'!E:AG,29,0),0)</f>
        <v>735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74</v>
      </c>
      <c r="C14" s="37"/>
      <c r="D14" s="37" t="s">
        <v>52</v>
      </c>
      <c r="E14" s="37" t="s">
        <v>85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L14+IFERROR(VLOOKUP($E:$E,'（居民）工资表-10月'!$E:$S,15,0),0)</f>
        <v>78000</v>
      </c>
      <c r="T14" s="91">
        <f>5000+IFERROR(VLOOKUP($E:$E,'（居民）工资表-10月'!$E:$T,16,0),0)</f>
        <v>30000</v>
      </c>
      <c r="U14" s="91">
        <f>Q14+IFERROR(VLOOKUP($E:$E,'（居民）工资表-10月'!$E:$U,17,0),0)</f>
        <v>13650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R14+IFERROR(VLOOKUP($E:$E,'（居民）工资表-10月'!$E:$AC,25,0),0)</f>
        <v>0</v>
      </c>
      <c r="AD14" s="93">
        <f t="shared" si="6"/>
        <v>34350</v>
      </c>
      <c r="AE14" s="94">
        <f>ROUND(MAX((AD14)*{0.03;0.1;0.2;0.25;0.3;0.35;0.45}-{0;2520;16920;31920;52920;85920;181920},0),2)</f>
        <v>1030.5</v>
      </c>
      <c r="AF14" s="95">
        <f>IFERROR(VLOOKUP(E:E,'（居民）工资表-10月'!E:AF,28,0)+VLOOKUP(E:E,'（居民）工资表-10月'!E:AG,29,0),0)</f>
        <v>858.75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74</v>
      </c>
      <c r="C15" s="37"/>
      <c r="D15" s="37" t="s">
        <v>52</v>
      </c>
      <c r="E15" s="37" t="s">
        <v>86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L15+IFERROR(VLOOKUP($E:$E,'（居民）工资表-10月'!$E:$S,15,0),0)</f>
        <v>84000</v>
      </c>
      <c r="T15" s="91">
        <f>5000+IFERROR(VLOOKUP($E:$E,'（居民）工资表-10月'!$E:$T,16,0),0)</f>
        <v>30000</v>
      </c>
      <c r="U15" s="91">
        <f>Q15+IFERROR(VLOOKUP($E:$E,'（居民）工资表-10月'!$E:$U,17,0),0)</f>
        <v>14700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R15+IFERROR(VLOOKUP($E:$E,'（居民）工资表-10月'!$E:$AC,25,0),0)</f>
        <v>0</v>
      </c>
      <c r="AD15" s="93">
        <f t="shared" si="6"/>
        <v>39300</v>
      </c>
      <c r="AE15" s="94">
        <f>ROUND(MAX((AD15)*{0.03;0.1;0.2;0.25;0.3;0.35;0.45}-{0;2520;16920;31920;52920;85920;181920},0),2)</f>
        <v>1410</v>
      </c>
      <c r="AF15" s="95">
        <f>IFERROR(VLOOKUP(E:E,'（居民）工资表-10月'!E:AF,28,0)+VLOOKUP(E:E,'（居民）工资表-10月'!E:AG,29,0),0)</f>
        <v>982.5</v>
      </c>
      <c r="AG15" s="95">
        <f t="shared" si="7"/>
        <v>427.5</v>
      </c>
      <c r="AH15" s="102">
        <f t="shared" si="8"/>
        <v>11122.5</v>
      </c>
      <c r="AI15" s="103"/>
      <c r="AJ15" s="102">
        <f t="shared" si="9"/>
        <v>11122.5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74</v>
      </c>
      <c r="C16" s="37"/>
      <c r="D16" s="37" t="s">
        <v>52</v>
      </c>
      <c r="E16" s="37" t="s">
        <v>87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L16+IFERROR(VLOOKUP($E:$E,'（居民）工资表-10月'!$E:$S,15,0),0)</f>
        <v>90000</v>
      </c>
      <c r="T16" s="91">
        <f>5000+IFERROR(VLOOKUP($E:$E,'（居民）工资表-10月'!$E:$T,16,0),0)</f>
        <v>30000</v>
      </c>
      <c r="U16" s="91">
        <f>Q16+IFERROR(VLOOKUP($E:$E,'（居民）工资表-10月'!$E:$U,17,0),0)</f>
        <v>15750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R16+IFERROR(VLOOKUP($E:$E,'（居民）工资表-10月'!$E:$AC,25,0),0)</f>
        <v>0</v>
      </c>
      <c r="AD16" s="93">
        <f t="shared" si="6"/>
        <v>44250</v>
      </c>
      <c r="AE16" s="94">
        <f>ROUND(MAX((AD16)*{0.03;0.1;0.2;0.25;0.3;0.35;0.45}-{0;2520;16920;31920;52920;85920;181920},0),2)</f>
        <v>1905</v>
      </c>
      <c r="AF16" s="95">
        <f>IFERROR(VLOOKUP(E:E,'（居民）工资表-10月'!E:AF,28,0)+VLOOKUP(E:E,'（居民）工资表-10月'!E:AG,29,0),0)</f>
        <v>1167.5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74</v>
      </c>
      <c r="C17" s="37"/>
      <c r="D17" s="37" t="s">
        <v>52</v>
      </c>
      <c r="E17" s="37" t="s">
        <v>88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L17+IFERROR(VLOOKUP($E:$E,'（居民）工资表-10月'!$E:$S,15,0),0)</f>
        <v>96000</v>
      </c>
      <c r="T17" s="91">
        <f>5000+IFERROR(VLOOKUP($E:$E,'（居民）工资表-10月'!$E:$T,16,0),0)</f>
        <v>30000</v>
      </c>
      <c r="U17" s="91">
        <f>Q17+IFERROR(VLOOKUP($E:$E,'（居民）工资表-10月'!$E:$U,17,0),0)</f>
        <v>16800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R17+IFERROR(VLOOKUP($E:$E,'（居民）工资表-10月'!$E:$AC,25,0),0)</f>
        <v>0</v>
      </c>
      <c r="AD17" s="93">
        <f t="shared" si="6"/>
        <v>49200</v>
      </c>
      <c r="AE17" s="94">
        <f>ROUND(MAX((AD17)*{0.03;0.1;0.2;0.25;0.3;0.35;0.45}-{0;2520;16920;31920;52920;85920;181920},0),2)</f>
        <v>2400</v>
      </c>
      <c r="AF17" s="95">
        <f>IFERROR(VLOOKUP(E:E,'（居民）工资表-10月'!E:AF,28,0)+VLOOKUP(E:E,'（居民）工资表-10月'!E:AG,29,0),0)</f>
        <v>1580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74</v>
      </c>
      <c r="C18" s="37"/>
      <c r="D18" s="37" t="s">
        <v>52</v>
      </c>
      <c r="E18" s="37" t="s">
        <v>89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L18+IFERROR(VLOOKUP($E:$E,'（居民）工资表-10月'!$E:$S,15,0),0)</f>
        <v>102000</v>
      </c>
      <c r="T18" s="91">
        <f>5000+IFERROR(VLOOKUP($E:$E,'（居民）工资表-10月'!$E:$T,16,0),0)</f>
        <v>30000</v>
      </c>
      <c r="U18" s="91">
        <f>Q18+IFERROR(VLOOKUP($E:$E,'（居民）工资表-10月'!$E:$U,17,0),0)</f>
        <v>17850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R18+IFERROR(VLOOKUP($E:$E,'（居民）工资表-10月'!$E:$AC,25,0),0)</f>
        <v>0</v>
      </c>
      <c r="AD18" s="93">
        <f t="shared" si="6"/>
        <v>54150</v>
      </c>
      <c r="AE18" s="94">
        <f>ROUND(MAX((AD18)*{0.03;0.1;0.2;0.25;0.3;0.35;0.45}-{0;2520;16920;31920;52920;85920;181920},0),2)</f>
        <v>2895</v>
      </c>
      <c r="AF18" s="95">
        <f>IFERROR(VLOOKUP(E:E,'（居民）工资表-10月'!E:AF,28,0)+VLOOKUP(E:E,'（居民）工资表-10月'!E:AG,29,0),0)</f>
        <v>1992.5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74</v>
      </c>
      <c r="C19" s="37"/>
      <c r="D19" s="37" t="s">
        <v>52</v>
      </c>
      <c r="E19" s="37" t="s">
        <v>90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L19+IFERROR(VLOOKUP($E:$E,'（居民）工资表-10月'!$E:$S,15,0),0)</f>
        <v>108000</v>
      </c>
      <c r="T19" s="91">
        <f>5000+IFERROR(VLOOKUP($E:$E,'（居民）工资表-10月'!$E:$T,16,0),0)</f>
        <v>30000</v>
      </c>
      <c r="U19" s="91">
        <f>Q19+IFERROR(VLOOKUP($E:$E,'（居民）工资表-10月'!$E:$U,17,0),0)</f>
        <v>18900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R19+IFERROR(VLOOKUP($E:$E,'（居民）工资表-10月'!$E:$AC,25,0),0)</f>
        <v>0</v>
      </c>
      <c r="AD19" s="93">
        <f t="shared" si="6"/>
        <v>59100</v>
      </c>
      <c r="AE19" s="94">
        <f>ROUND(MAX((AD19)*{0.03;0.1;0.2;0.25;0.3;0.35;0.45}-{0;2520;16920;31920;52920;85920;181920},0),2)</f>
        <v>3390</v>
      </c>
      <c r="AF19" s="95">
        <f>IFERROR(VLOOKUP(E:E,'（居民）工资表-10月'!E:AF,28,0)+VLOOKUP(E:E,'（居民）工资表-10月'!E:AG,29,0),0)</f>
        <v>2405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74</v>
      </c>
      <c r="C20" s="37"/>
      <c r="D20" s="37" t="s">
        <v>52</v>
      </c>
      <c r="E20" s="37" t="s">
        <v>91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L20+IFERROR(VLOOKUP($E:$E,'（居民）工资表-10月'!$E:$S,15,0),0)</f>
        <v>114000</v>
      </c>
      <c r="T20" s="91">
        <f>5000+IFERROR(VLOOKUP($E:$E,'（居民）工资表-10月'!$E:$T,16,0),0)</f>
        <v>30000</v>
      </c>
      <c r="U20" s="91">
        <f>Q20+IFERROR(VLOOKUP($E:$E,'（居民）工资表-10月'!$E:$U,17,0),0)</f>
        <v>19950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R20+IFERROR(VLOOKUP($E:$E,'（居民）工资表-10月'!$E:$AC,25,0),0)</f>
        <v>0</v>
      </c>
      <c r="AD20" s="93">
        <f t="shared" si="6"/>
        <v>64050</v>
      </c>
      <c r="AE20" s="94">
        <f>ROUND(MAX((AD20)*{0.03;0.1;0.2;0.25;0.3;0.35;0.45}-{0;2520;16920;31920;52920;85920;181920},0),2)</f>
        <v>3885</v>
      </c>
      <c r="AF20" s="95">
        <f>IFERROR(VLOOKUP(E:E,'（居民）工资表-10月'!E:AF,28,0)+VLOOKUP(E:E,'（居民）工资表-10月'!E:AG,29,0),0)</f>
        <v>2817.5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74</v>
      </c>
      <c r="C21" s="37"/>
      <c r="D21" s="37" t="s">
        <v>52</v>
      </c>
      <c r="E21" s="37" t="s">
        <v>92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L21+IFERROR(VLOOKUP($E:$E,'（居民）工资表-10月'!$E:$S,15,0),0)</f>
        <v>120000</v>
      </c>
      <c r="T21" s="91">
        <f>5000+IFERROR(VLOOKUP($E:$E,'（居民）工资表-10月'!$E:$T,16,0),0)</f>
        <v>30000</v>
      </c>
      <c r="U21" s="91">
        <f>Q21+IFERROR(VLOOKUP($E:$E,'（居民）工资表-10月'!$E:$U,17,0),0)</f>
        <v>21000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R21+IFERROR(VLOOKUP($E:$E,'（居民）工资表-10月'!$E:$AC,25,0),0)</f>
        <v>0</v>
      </c>
      <c r="AD21" s="93">
        <f t="shared" si="6"/>
        <v>69000</v>
      </c>
      <c r="AE21" s="94">
        <f>ROUND(MAX((AD21)*{0.03;0.1;0.2;0.25;0.3;0.35;0.45}-{0;2520;16920;31920;52920;85920;181920},0),2)</f>
        <v>4380</v>
      </c>
      <c r="AF21" s="95">
        <f>IFERROR(VLOOKUP(E:E,'（居民）工资表-10月'!E:AF,28,0)+VLOOKUP(E:E,'（居民）工资表-10月'!E:AG,29,0),0)</f>
        <v>3230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74</v>
      </c>
      <c r="C22" s="37"/>
      <c r="D22" s="37" t="s">
        <v>52</v>
      </c>
      <c r="E22" s="37" t="s">
        <v>93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L22+IFERROR(VLOOKUP($E:$E,'（居民）工资表-10月'!$E:$S,15,0),0)</f>
        <v>126000</v>
      </c>
      <c r="T22" s="91">
        <f>5000+IFERROR(VLOOKUP($E:$E,'（居民）工资表-10月'!$E:$T,16,0),0)</f>
        <v>30000</v>
      </c>
      <c r="U22" s="91">
        <f>Q22+IFERROR(VLOOKUP($E:$E,'（居民）工资表-10月'!$E:$U,17,0),0)</f>
        <v>22050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R22+IFERROR(VLOOKUP($E:$E,'（居民）工资表-10月'!$E:$AC,25,0),0)</f>
        <v>0</v>
      </c>
      <c r="AD22" s="93">
        <f t="shared" si="6"/>
        <v>73950</v>
      </c>
      <c r="AE22" s="94">
        <f>ROUND(MAX((AD22)*{0.03;0.1;0.2;0.25;0.3;0.35;0.45}-{0;2520;16920;31920;52920;85920;181920},0),2)</f>
        <v>4875</v>
      </c>
      <c r="AF22" s="95">
        <f>IFERROR(VLOOKUP(E:E,'（居民）工资表-10月'!E:AF,28,0)+VLOOKUP(E:E,'（居民）工资表-10月'!E:AG,29,0),0)</f>
        <v>3642.5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74</v>
      </c>
      <c r="C23" s="37"/>
      <c r="D23" s="37" t="s">
        <v>52</v>
      </c>
      <c r="E23" s="37" t="s">
        <v>94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L23+IFERROR(VLOOKUP($E:$E,'（居民）工资表-10月'!$E:$S,15,0),0)</f>
        <v>132000</v>
      </c>
      <c r="T23" s="91">
        <f>5000+IFERROR(VLOOKUP($E:$E,'（居民）工资表-10月'!$E:$T,16,0),0)</f>
        <v>30000</v>
      </c>
      <c r="U23" s="91">
        <f>Q23+IFERROR(VLOOKUP($E:$E,'（居民）工资表-10月'!$E:$U,17,0),0)</f>
        <v>23100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R23+IFERROR(VLOOKUP($E:$E,'（居民）工资表-10月'!$E:$AC,25,0),0)</f>
        <v>0</v>
      </c>
      <c r="AD23" s="93">
        <f t="shared" si="6"/>
        <v>78900</v>
      </c>
      <c r="AE23" s="94">
        <f>ROUND(MAX((AD23)*{0.03;0.1;0.2;0.25;0.3;0.35;0.45}-{0;2520;16920;31920;52920;85920;181920},0),2)</f>
        <v>5370</v>
      </c>
      <c r="AF23" s="95">
        <f>IFERROR(VLOOKUP(E:E,'（居民）工资表-10月'!E:AF,28,0)+VLOOKUP(E:E,'（居民）工资表-10月'!E:AG,29,0),0)</f>
        <v>4055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61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1500000</v>
      </c>
      <c r="T24" s="74">
        <f t="shared" si="12"/>
        <v>600000</v>
      </c>
      <c r="U24" s="74">
        <f t="shared" si="12"/>
        <v>262500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637500</v>
      </c>
      <c r="AE24" s="74">
        <f t="shared" si="12"/>
        <v>34605</v>
      </c>
      <c r="AF24" s="74">
        <f t="shared" si="12"/>
        <v>25285</v>
      </c>
      <c r="AG24" s="74">
        <f t="shared" si="12"/>
        <v>9320</v>
      </c>
      <c r="AH24" s="74">
        <f t="shared" si="12"/>
        <v>196930</v>
      </c>
      <c r="AI24" s="105">
        <f t="shared" si="12"/>
        <v>0</v>
      </c>
      <c r="AJ24" s="74">
        <f t="shared" si="12"/>
        <v>196930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62</v>
      </c>
      <c r="D28" s="47" t="s">
        <v>30</v>
      </c>
      <c r="E28" s="47" t="s">
        <v>63</v>
      </c>
      <c r="AD28" s="10"/>
    </row>
    <row r="29" ht="18.75" customHeight="1" spans="2:5">
      <c r="B29" s="48">
        <f>AJ24</f>
        <v>196930</v>
      </c>
      <c r="C29" s="48">
        <f>AG24</f>
        <v>9320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64</v>
      </c>
      <c r="B31" s="51" t="s">
        <v>65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66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67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68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69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70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71</v>
      </c>
    </row>
    <row r="39" spans="2:2">
      <c r="B39" s="59" t="s">
        <v>72</v>
      </c>
    </row>
    <row r="40" spans="2:2">
      <c r="B40" s="59" t="s">
        <v>73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:AF23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74</v>
      </c>
      <c r="C4" s="37"/>
      <c r="D4" s="37" t="s">
        <v>52</v>
      </c>
      <c r="E4" s="37" t="s">
        <v>75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L4+IFERROR(VLOOKUP($E:$E,'（居民）工资表-11月'!$E:$S,15,0),0)</f>
        <v>21000</v>
      </c>
      <c r="T4" s="91">
        <f>5000+IFERROR(VLOOKUP($E:$E,'（居民）工资表-11月'!$E:$T,16,0),0)</f>
        <v>35000</v>
      </c>
      <c r="U4" s="91">
        <f>Q4+IFERROR(VLOOKUP($E:$E,'（居民）工资表-11月'!$E:$U,17,0),0)</f>
        <v>3675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R4+IFERROR(VLOOKUP($E:$E,'（居民）工资表-11月'!$E:$AC,25,0),0)</f>
        <v>0</v>
      </c>
      <c r="AD4" s="93">
        <f>ROUND(S4-T4-U4-AB4-AC4,2)</f>
        <v>-17675</v>
      </c>
      <c r="AE4" s="94">
        <f>ROUND(MAX((AD4)*{0.03;0.1;0.2;0.25;0.3;0.35;0.45}-{0;2520;16920;31920;52920;85920;181920},0),2)</f>
        <v>0</v>
      </c>
      <c r="AF4" s="95">
        <f>IFERROR(VLOOKUP(E:E,'（居民）工资表-11月'!E:AF,28,0)+VLOOKUP(E:E,'（居民）工资表-11月'!E:AG,29,0),0)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74</v>
      </c>
      <c r="C5" s="37"/>
      <c r="D5" s="37" t="s">
        <v>52</v>
      </c>
      <c r="E5" s="37" t="s">
        <v>76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L5+IFERROR(VLOOKUP($E:$E,'（居民）工资表-11月'!$E:$S,15,0),0)</f>
        <v>28000</v>
      </c>
      <c r="T5" s="91">
        <f>5000+IFERROR(VLOOKUP($E:$E,'（居民）工资表-11月'!$E:$T,16,0),0)</f>
        <v>35000</v>
      </c>
      <c r="U5" s="91">
        <f>Q5+IFERROR(VLOOKUP($E:$E,'（居民）工资表-11月'!$E:$U,17,0),0)</f>
        <v>4900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R5+IFERROR(VLOOKUP($E:$E,'（居民）工资表-11月'!$E:$AC,25,0),0)</f>
        <v>0</v>
      </c>
      <c r="AD5" s="93">
        <f t="shared" ref="AD5:AD23" si="6">ROUND(S5-T5-U5-AB5-AC5,2)</f>
        <v>-11900</v>
      </c>
      <c r="AE5" s="94">
        <f>ROUND(MAX((AD5)*{0.03;0.1;0.2;0.25;0.3;0.35;0.45}-{0;2520;16920;31920;52920;85920;181920},0),2)</f>
        <v>0</v>
      </c>
      <c r="AF5" s="95">
        <f>IFERROR(VLOOKUP(E:E,'（居民）工资表-11月'!E:AF,28,0)+VLOOKUP(E:E,'（居民）工资表-11月'!E:AG,29,0),0)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74</v>
      </c>
      <c r="C6" s="37"/>
      <c r="D6" s="37" t="s">
        <v>52</v>
      </c>
      <c r="E6" s="37" t="s">
        <v>77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L6+IFERROR(VLOOKUP($E:$E,'（居民）工资表-11月'!$E:$S,15,0),0)</f>
        <v>35000</v>
      </c>
      <c r="T6" s="91">
        <f>5000+IFERROR(VLOOKUP($E:$E,'（居民）工资表-11月'!$E:$T,16,0),0)</f>
        <v>35000</v>
      </c>
      <c r="U6" s="91">
        <f>Q6+IFERROR(VLOOKUP($E:$E,'（居民）工资表-11月'!$E:$U,17,0),0)</f>
        <v>6125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R6+IFERROR(VLOOKUP($E:$E,'（居民）工资表-11月'!$E:$AC,25,0),0)</f>
        <v>0</v>
      </c>
      <c r="AD6" s="93">
        <f t="shared" si="6"/>
        <v>-6125</v>
      </c>
      <c r="AE6" s="94">
        <f>ROUND(MAX((AD6)*{0.03;0.1;0.2;0.25;0.3;0.35;0.45}-{0;2520;16920;31920;52920;85920;181920},0),2)</f>
        <v>0</v>
      </c>
      <c r="AF6" s="95">
        <f>IFERROR(VLOOKUP(E:E,'（居民）工资表-11月'!E:AF,28,0)+VLOOKUP(E:E,'（居民）工资表-11月'!E:AG,29,0),0)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74</v>
      </c>
      <c r="C7" s="37"/>
      <c r="D7" s="37" t="s">
        <v>52</v>
      </c>
      <c r="E7" s="37" t="s">
        <v>78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L7+IFERROR(VLOOKUP($E:$E,'（居民）工资表-11月'!$E:$S,15,0),0)</f>
        <v>42000</v>
      </c>
      <c r="T7" s="91">
        <f>5000+IFERROR(VLOOKUP($E:$E,'（居民）工资表-11月'!$E:$T,16,0),0)</f>
        <v>35000</v>
      </c>
      <c r="U7" s="91">
        <f>Q7+IFERROR(VLOOKUP($E:$E,'（居民）工资表-11月'!$E:$U,17,0),0)</f>
        <v>7350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R7+IFERROR(VLOOKUP($E:$E,'（居民）工资表-11月'!$E:$AC,25,0),0)</f>
        <v>0</v>
      </c>
      <c r="AD7" s="93">
        <f t="shared" si="6"/>
        <v>-350</v>
      </c>
      <c r="AE7" s="94">
        <f>ROUND(MAX((AD7)*{0.03;0.1;0.2;0.25;0.3;0.35;0.45}-{0;2520;16920;31920;52920;85920;181920},0),2)</f>
        <v>0</v>
      </c>
      <c r="AF7" s="95">
        <f>IFERROR(VLOOKUP(E:E,'（居民）工资表-11月'!E:AF,28,0)+VLOOKUP(E:E,'（居民）工资表-11月'!E:AG,29,0),0)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74</v>
      </c>
      <c r="C8" s="37"/>
      <c r="D8" s="37" t="s">
        <v>52</v>
      </c>
      <c r="E8" s="37" t="s">
        <v>79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L8+IFERROR(VLOOKUP($E:$E,'（居民）工资表-11月'!$E:$S,15,0),0)</f>
        <v>49000</v>
      </c>
      <c r="T8" s="91">
        <f>5000+IFERROR(VLOOKUP($E:$E,'（居民）工资表-11月'!$E:$T,16,0),0)</f>
        <v>35000</v>
      </c>
      <c r="U8" s="91">
        <f>Q8+IFERROR(VLOOKUP($E:$E,'（居民）工资表-11月'!$E:$U,17,0),0)</f>
        <v>8575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R8+IFERROR(VLOOKUP($E:$E,'（居民）工资表-11月'!$E:$AC,25,0),0)</f>
        <v>0</v>
      </c>
      <c r="AD8" s="93">
        <f t="shared" si="6"/>
        <v>5425</v>
      </c>
      <c r="AE8" s="94">
        <f>ROUND(MAX((AD8)*{0.03;0.1;0.2;0.25;0.3;0.35;0.45}-{0;2520;16920;31920;52920;85920;181920},0),2)</f>
        <v>162.75</v>
      </c>
      <c r="AF8" s="95">
        <f>IFERROR(VLOOKUP(E:E,'（居民）工资表-11月'!E:AF,28,0)+VLOOKUP(E:E,'（居民）工资表-11月'!E:AG,29,0),0)</f>
        <v>139.5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74</v>
      </c>
      <c r="C9" s="37"/>
      <c r="D9" s="37" t="s">
        <v>52</v>
      </c>
      <c r="E9" s="37" t="s">
        <v>80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L9+IFERROR(VLOOKUP($E:$E,'（居民）工资表-11月'!$E:$S,15,0),0)</f>
        <v>56000</v>
      </c>
      <c r="T9" s="91">
        <f>5000+IFERROR(VLOOKUP($E:$E,'（居民）工资表-11月'!$E:$T,16,0),0)</f>
        <v>35000</v>
      </c>
      <c r="U9" s="91">
        <f>Q9+IFERROR(VLOOKUP($E:$E,'（居民）工资表-11月'!$E:$U,17,0),0)</f>
        <v>9800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R9+IFERROR(VLOOKUP($E:$E,'（居民）工资表-11月'!$E:$AC,25,0),0)</f>
        <v>0</v>
      </c>
      <c r="AD9" s="93">
        <f t="shared" si="6"/>
        <v>11200</v>
      </c>
      <c r="AE9" s="94">
        <f>ROUND(MAX((AD9)*{0.03;0.1;0.2;0.25;0.3;0.35;0.45}-{0;2520;16920;31920;52920;85920;181920},0),2)</f>
        <v>336</v>
      </c>
      <c r="AF9" s="95">
        <f>IFERROR(VLOOKUP(E:E,'（居民）工资表-11月'!E:AF,28,0)+VLOOKUP(E:E,'（居民）工资表-11月'!E:AG,29,0),0)</f>
        <v>288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74</v>
      </c>
      <c r="C10" s="37"/>
      <c r="D10" s="37" t="s">
        <v>52</v>
      </c>
      <c r="E10" s="37" t="s">
        <v>81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L10+IFERROR(VLOOKUP($E:$E,'（居民）工资表-11月'!$E:$S,15,0),0)</f>
        <v>63000</v>
      </c>
      <c r="T10" s="91">
        <f>5000+IFERROR(VLOOKUP($E:$E,'（居民）工资表-11月'!$E:$T,16,0),0)</f>
        <v>35000</v>
      </c>
      <c r="U10" s="91">
        <f>Q10+IFERROR(VLOOKUP($E:$E,'（居民）工资表-11月'!$E:$U,17,0),0)</f>
        <v>11025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R10+IFERROR(VLOOKUP($E:$E,'（居民）工资表-11月'!$E:$AC,25,0),0)</f>
        <v>0</v>
      </c>
      <c r="AD10" s="93">
        <f t="shared" si="6"/>
        <v>16975</v>
      </c>
      <c r="AE10" s="94">
        <f>ROUND(MAX((AD10)*{0.03;0.1;0.2;0.25;0.3;0.35;0.45}-{0;2520;16920;31920;52920;85920;181920},0),2)</f>
        <v>509.25</v>
      </c>
      <c r="AF10" s="95">
        <f>IFERROR(VLOOKUP(E:E,'（居民）工资表-11月'!E:AF,28,0)+VLOOKUP(E:E,'（居民）工资表-11月'!E:AG,29,0),0)</f>
        <v>436.5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74</v>
      </c>
      <c r="C11" s="37"/>
      <c r="D11" s="37" t="s">
        <v>52</v>
      </c>
      <c r="E11" s="37" t="s">
        <v>82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L11+IFERROR(VLOOKUP($E:$E,'（居民）工资表-11月'!$E:$S,15,0),0)</f>
        <v>70000</v>
      </c>
      <c r="T11" s="91">
        <f>5000+IFERROR(VLOOKUP($E:$E,'（居民）工资表-11月'!$E:$T,16,0),0)</f>
        <v>35000</v>
      </c>
      <c r="U11" s="91">
        <f>Q11+IFERROR(VLOOKUP($E:$E,'（居民）工资表-11月'!$E:$U,17,0),0)</f>
        <v>12250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R11+IFERROR(VLOOKUP($E:$E,'（居民）工资表-11月'!$E:$AC,25,0),0)</f>
        <v>0</v>
      </c>
      <c r="AD11" s="93">
        <f t="shared" si="6"/>
        <v>22750</v>
      </c>
      <c r="AE11" s="94">
        <f>ROUND(MAX((AD11)*{0.03;0.1;0.2;0.25;0.3;0.35;0.45}-{0;2520;16920;31920;52920;85920;181920},0),2)</f>
        <v>682.5</v>
      </c>
      <c r="AF11" s="95">
        <f>IFERROR(VLOOKUP(E:E,'（居民）工资表-11月'!E:AF,28,0)+VLOOKUP(E:E,'（居民）工资表-11月'!E:AG,29,0),0)</f>
        <v>585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74</v>
      </c>
      <c r="C12" s="37"/>
      <c r="D12" s="37" t="s">
        <v>52</v>
      </c>
      <c r="E12" s="37" t="s">
        <v>83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L12+IFERROR(VLOOKUP($E:$E,'（居民）工资表-11月'!$E:$S,15,0),0)</f>
        <v>77000</v>
      </c>
      <c r="T12" s="91">
        <f>5000+IFERROR(VLOOKUP($E:$E,'（居民）工资表-11月'!$E:$T,16,0),0)</f>
        <v>35000</v>
      </c>
      <c r="U12" s="91">
        <f>Q12+IFERROR(VLOOKUP($E:$E,'（居民）工资表-11月'!$E:$U,17,0),0)</f>
        <v>13475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R12+IFERROR(VLOOKUP($E:$E,'（居民）工资表-11月'!$E:$AC,25,0),0)</f>
        <v>0</v>
      </c>
      <c r="AD12" s="93">
        <f t="shared" si="6"/>
        <v>28525</v>
      </c>
      <c r="AE12" s="94">
        <f>ROUND(MAX((AD12)*{0.03;0.1;0.2;0.25;0.3;0.35;0.45}-{0;2520;16920;31920;52920;85920;181920},0),2)</f>
        <v>855.75</v>
      </c>
      <c r="AF12" s="95">
        <f>IFERROR(VLOOKUP(E:E,'（居民）工资表-11月'!E:AF,28,0)+VLOOKUP(E:E,'（居民）工资表-11月'!E:AG,29,0),0)</f>
        <v>733.5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74</v>
      </c>
      <c r="C13" s="37"/>
      <c r="D13" s="37" t="s">
        <v>52</v>
      </c>
      <c r="E13" s="37" t="s">
        <v>84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L13+IFERROR(VLOOKUP($E:$E,'（居民）工资表-11月'!$E:$S,15,0),0)</f>
        <v>84000</v>
      </c>
      <c r="T13" s="91">
        <f>5000+IFERROR(VLOOKUP($E:$E,'（居民）工资表-11月'!$E:$T,16,0),0)</f>
        <v>35000</v>
      </c>
      <c r="U13" s="91">
        <f>Q13+IFERROR(VLOOKUP($E:$E,'（居民）工资表-11月'!$E:$U,17,0),0)</f>
        <v>14700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R13+IFERROR(VLOOKUP($E:$E,'（居民）工资表-11月'!$E:$AC,25,0),0)</f>
        <v>0</v>
      </c>
      <c r="AD13" s="93">
        <f t="shared" si="6"/>
        <v>34300</v>
      </c>
      <c r="AE13" s="94">
        <f>ROUND(MAX((AD13)*{0.03;0.1;0.2;0.25;0.3;0.35;0.45}-{0;2520;16920;31920;52920;85920;181920},0),2)</f>
        <v>1029</v>
      </c>
      <c r="AF13" s="95">
        <f>IFERROR(VLOOKUP(E:E,'（居民）工资表-11月'!E:AF,28,0)+VLOOKUP(E:E,'（居民）工资表-11月'!E:AG,29,0),0)</f>
        <v>882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74</v>
      </c>
      <c r="C14" s="37"/>
      <c r="D14" s="37" t="s">
        <v>52</v>
      </c>
      <c r="E14" s="37" t="s">
        <v>85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L14+IFERROR(VLOOKUP($E:$E,'（居民）工资表-11月'!$E:$S,15,0),0)</f>
        <v>91000</v>
      </c>
      <c r="T14" s="91">
        <f>5000+IFERROR(VLOOKUP($E:$E,'（居民）工资表-11月'!$E:$T,16,0),0)</f>
        <v>35000</v>
      </c>
      <c r="U14" s="91">
        <f>Q14+IFERROR(VLOOKUP($E:$E,'（居民）工资表-11月'!$E:$U,17,0),0)</f>
        <v>15925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R14+IFERROR(VLOOKUP($E:$E,'（居民）工资表-11月'!$E:$AC,25,0),0)</f>
        <v>0</v>
      </c>
      <c r="AD14" s="93">
        <f t="shared" si="6"/>
        <v>40075</v>
      </c>
      <c r="AE14" s="94">
        <f>ROUND(MAX((AD14)*{0.03;0.1;0.2;0.25;0.3;0.35;0.45}-{0;2520;16920;31920;52920;85920;181920},0),2)</f>
        <v>1487.5</v>
      </c>
      <c r="AF14" s="95">
        <f>IFERROR(VLOOKUP(E:E,'（居民）工资表-11月'!E:AF,28,0)+VLOOKUP(E:E,'（居民）工资表-11月'!E:AG,29,0),0)</f>
        <v>1030.5</v>
      </c>
      <c r="AG14" s="95">
        <f t="shared" si="7"/>
        <v>457</v>
      </c>
      <c r="AH14" s="102">
        <f t="shared" si="8"/>
        <v>10268</v>
      </c>
      <c r="AI14" s="103"/>
      <c r="AJ14" s="102">
        <f t="shared" si="9"/>
        <v>10268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74</v>
      </c>
      <c r="C15" s="37"/>
      <c r="D15" s="37" t="s">
        <v>52</v>
      </c>
      <c r="E15" s="37" t="s">
        <v>86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L15+IFERROR(VLOOKUP($E:$E,'（居民）工资表-11月'!$E:$S,15,0),0)</f>
        <v>98000</v>
      </c>
      <c r="T15" s="91">
        <f>5000+IFERROR(VLOOKUP($E:$E,'（居民）工资表-11月'!$E:$T,16,0),0)</f>
        <v>35000</v>
      </c>
      <c r="U15" s="91">
        <f>Q15+IFERROR(VLOOKUP($E:$E,'（居民）工资表-11月'!$E:$U,17,0),0)</f>
        <v>17150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R15+IFERROR(VLOOKUP($E:$E,'（居民）工资表-11月'!$E:$AC,25,0),0)</f>
        <v>0</v>
      </c>
      <c r="AD15" s="93">
        <f t="shared" si="6"/>
        <v>45850</v>
      </c>
      <c r="AE15" s="94">
        <f>ROUND(MAX((AD15)*{0.03;0.1;0.2;0.25;0.3;0.35;0.45}-{0;2520;16920;31920;52920;85920;181920},0),2)</f>
        <v>2065</v>
      </c>
      <c r="AF15" s="95">
        <f>IFERROR(VLOOKUP(E:E,'（居民）工资表-11月'!E:AF,28,0)+VLOOKUP(E:E,'（居民）工资表-11月'!E:AG,29,0),0)</f>
        <v>1410</v>
      </c>
      <c r="AG15" s="95">
        <f t="shared" si="7"/>
        <v>655</v>
      </c>
      <c r="AH15" s="102">
        <f t="shared" si="8"/>
        <v>10895</v>
      </c>
      <c r="AI15" s="103"/>
      <c r="AJ15" s="102">
        <f t="shared" si="9"/>
        <v>10895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74</v>
      </c>
      <c r="C16" s="37"/>
      <c r="D16" s="37" t="s">
        <v>52</v>
      </c>
      <c r="E16" s="37" t="s">
        <v>87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L16+IFERROR(VLOOKUP($E:$E,'（居民）工资表-11月'!$E:$S,15,0),0)</f>
        <v>105000</v>
      </c>
      <c r="T16" s="91">
        <f>5000+IFERROR(VLOOKUP($E:$E,'（居民）工资表-11月'!$E:$T,16,0),0)</f>
        <v>35000</v>
      </c>
      <c r="U16" s="91">
        <f>Q16+IFERROR(VLOOKUP($E:$E,'（居民）工资表-11月'!$E:$U,17,0),0)</f>
        <v>18375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R16+IFERROR(VLOOKUP($E:$E,'（居民）工资表-11月'!$E:$AC,25,0),0)</f>
        <v>0</v>
      </c>
      <c r="AD16" s="93">
        <f t="shared" si="6"/>
        <v>51625</v>
      </c>
      <c r="AE16" s="94">
        <f>ROUND(MAX((AD16)*{0.03;0.1;0.2;0.25;0.3;0.35;0.45}-{0;2520;16920;31920;52920;85920;181920},0),2)</f>
        <v>2642.5</v>
      </c>
      <c r="AF16" s="95">
        <f>IFERROR(VLOOKUP(E:E,'（居民）工资表-11月'!E:AF,28,0)+VLOOKUP(E:E,'（居民）工资表-11月'!E:AG,29,0),0)</f>
        <v>1905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74</v>
      </c>
      <c r="C17" s="37"/>
      <c r="D17" s="37" t="s">
        <v>52</v>
      </c>
      <c r="E17" s="37" t="s">
        <v>88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L17+IFERROR(VLOOKUP($E:$E,'（居民）工资表-11月'!$E:$S,15,0),0)</f>
        <v>112000</v>
      </c>
      <c r="T17" s="91">
        <f>5000+IFERROR(VLOOKUP($E:$E,'（居民）工资表-11月'!$E:$T,16,0),0)</f>
        <v>35000</v>
      </c>
      <c r="U17" s="91">
        <f>Q17+IFERROR(VLOOKUP($E:$E,'（居民）工资表-11月'!$E:$U,17,0),0)</f>
        <v>19600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R17+IFERROR(VLOOKUP($E:$E,'（居民）工资表-11月'!$E:$AC,25,0),0)</f>
        <v>0</v>
      </c>
      <c r="AD17" s="93">
        <f t="shared" si="6"/>
        <v>57400</v>
      </c>
      <c r="AE17" s="94">
        <f>ROUND(MAX((AD17)*{0.03;0.1;0.2;0.25;0.3;0.35;0.45}-{0;2520;16920;31920;52920;85920;181920},0),2)</f>
        <v>3220</v>
      </c>
      <c r="AF17" s="95">
        <f>IFERROR(VLOOKUP(E:E,'（居民）工资表-11月'!E:AF,28,0)+VLOOKUP(E:E,'（居民）工资表-11月'!E:AG,29,0),0)</f>
        <v>2400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74</v>
      </c>
      <c r="C18" s="37"/>
      <c r="D18" s="37" t="s">
        <v>52</v>
      </c>
      <c r="E18" s="37" t="s">
        <v>89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L18+IFERROR(VLOOKUP($E:$E,'（居民）工资表-11月'!$E:$S,15,0),0)</f>
        <v>119000</v>
      </c>
      <c r="T18" s="91">
        <f>5000+IFERROR(VLOOKUP($E:$E,'（居民）工资表-11月'!$E:$T,16,0),0)</f>
        <v>35000</v>
      </c>
      <c r="U18" s="91">
        <f>Q18+IFERROR(VLOOKUP($E:$E,'（居民）工资表-11月'!$E:$U,17,0),0)</f>
        <v>20825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R18+IFERROR(VLOOKUP($E:$E,'（居民）工资表-11月'!$E:$AC,25,0),0)</f>
        <v>0</v>
      </c>
      <c r="AD18" s="93">
        <f t="shared" si="6"/>
        <v>63175</v>
      </c>
      <c r="AE18" s="94">
        <f>ROUND(MAX((AD18)*{0.03;0.1;0.2;0.25;0.3;0.35;0.45}-{0;2520;16920;31920;52920;85920;181920},0),2)</f>
        <v>3797.5</v>
      </c>
      <c r="AF18" s="95">
        <f>IFERROR(VLOOKUP(E:E,'（居民）工资表-11月'!E:AF,28,0)+VLOOKUP(E:E,'（居民）工资表-11月'!E:AG,29,0),0)</f>
        <v>2895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74</v>
      </c>
      <c r="C19" s="37"/>
      <c r="D19" s="37" t="s">
        <v>52</v>
      </c>
      <c r="E19" s="37" t="s">
        <v>90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L19+IFERROR(VLOOKUP($E:$E,'（居民）工资表-11月'!$E:$S,15,0),0)</f>
        <v>126000</v>
      </c>
      <c r="T19" s="91">
        <f>5000+IFERROR(VLOOKUP($E:$E,'（居民）工资表-11月'!$E:$T,16,0),0)</f>
        <v>35000</v>
      </c>
      <c r="U19" s="91">
        <f>Q19+IFERROR(VLOOKUP($E:$E,'（居民）工资表-11月'!$E:$U,17,0),0)</f>
        <v>22050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R19+IFERROR(VLOOKUP($E:$E,'（居民）工资表-11月'!$E:$AC,25,0),0)</f>
        <v>0</v>
      </c>
      <c r="AD19" s="93">
        <f t="shared" si="6"/>
        <v>68950</v>
      </c>
      <c r="AE19" s="94">
        <f>ROUND(MAX((AD19)*{0.03;0.1;0.2;0.25;0.3;0.35;0.45}-{0;2520;16920;31920;52920;85920;181920},0),2)</f>
        <v>4375</v>
      </c>
      <c r="AF19" s="95">
        <f>IFERROR(VLOOKUP(E:E,'（居民）工资表-11月'!E:AF,28,0)+VLOOKUP(E:E,'（居民）工资表-11月'!E:AG,29,0),0)</f>
        <v>3390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74</v>
      </c>
      <c r="C20" s="37"/>
      <c r="D20" s="37" t="s">
        <v>52</v>
      </c>
      <c r="E20" s="37" t="s">
        <v>91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L20+IFERROR(VLOOKUP($E:$E,'（居民）工资表-11月'!$E:$S,15,0),0)</f>
        <v>133000</v>
      </c>
      <c r="T20" s="91">
        <f>5000+IFERROR(VLOOKUP($E:$E,'（居民）工资表-11月'!$E:$T,16,0),0)</f>
        <v>35000</v>
      </c>
      <c r="U20" s="91">
        <f>Q20+IFERROR(VLOOKUP($E:$E,'（居民）工资表-11月'!$E:$U,17,0),0)</f>
        <v>23275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R20+IFERROR(VLOOKUP($E:$E,'（居民）工资表-11月'!$E:$AC,25,0),0)</f>
        <v>0</v>
      </c>
      <c r="AD20" s="93">
        <f t="shared" si="6"/>
        <v>74725</v>
      </c>
      <c r="AE20" s="94">
        <f>ROUND(MAX((AD20)*{0.03;0.1;0.2;0.25;0.3;0.35;0.45}-{0;2520;16920;31920;52920;85920;181920},0),2)</f>
        <v>4952.5</v>
      </c>
      <c r="AF20" s="95">
        <f>IFERROR(VLOOKUP(E:E,'（居民）工资表-11月'!E:AF,28,0)+VLOOKUP(E:E,'（居民）工资表-11月'!E:AG,29,0),0)</f>
        <v>3885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74</v>
      </c>
      <c r="C21" s="37"/>
      <c r="D21" s="37" t="s">
        <v>52</v>
      </c>
      <c r="E21" s="37" t="s">
        <v>92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L21+IFERROR(VLOOKUP($E:$E,'（居民）工资表-11月'!$E:$S,15,0),0)</f>
        <v>140000</v>
      </c>
      <c r="T21" s="91">
        <f>5000+IFERROR(VLOOKUP($E:$E,'（居民）工资表-11月'!$E:$T,16,0),0)</f>
        <v>35000</v>
      </c>
      <c r="U21" s="91">
        <f>Q21+IFERROR(VLOOKUP($E:$E,'（居民）工资表-11月'!$E:$U,17,0),0)</f>
        <v>24500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R21+IFERROR(VLOOKUP($E:$E,'（居民）工资表-11月'!$E:$AC,25,0),0)</f>
        <v>0</v>
      </c>
      <c r="AD21" s="93">
        <f t="shared" si="6"/>
        <v>80500</v>
      </c>
      <c r="AE21" s="94">
        <f>ROUND(MAX((AD21)*{0.03;0.1;0.2;0.25;0.3;0.35;0.45}-{0;2520;16920;31920;52920;85920;181920},0),2)</f>
        <v>5530</v>
      </c>
      <c r="AF21" s="95">
        <f>IFERROR(VLOOKUP(E:E,'（居民）工资表-11月'!E:AF,28,0)+VLOOKUP(E:E,'（居民）工资表-11月'!E:AG,29,0),0)</f>
        <v>4380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74</v>
      </c>
      <c r="C22" s="37"/>
      <c r="D22" s="37" t="s">
        <v>52</v>
      </c>
      <c r="E22" s="37" t="s">
        <v>93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L22+IFERROR(VLOOKUP($E:$E,'（居民）工资表-11月'!$E:$S,15,0),0)</f>
        <v>147000</v>
      </c>
      <c r="T22" s="91">
        <f>5000+IFERROR(VLOOKUP($E:$E,'（居民）工资表-11月'!$E:$T,16,0),0)</f>
        <v>35000</v>
      </c>
      <c r="U22" s="91">
        <f>Q22+IFERROR(VLOOKUP($E:$E,'（居民）工资表-11月'!$E:$U,17,0),0)</f>
        <v>25725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R22+IFERROR(VLOOKUP($E:$E,'（居民）工资表-11月'!$E:$AC,25,0),0)</f>
        <v>0</v>
      </c>
      <c r="AD22" s="93">
        <f t="shared" si="6"/>
        <v>86275</v>
      </c>
      <c r="AE22" s="94">
        <f>ROUND(MAX((AD22)*{0.03;0.1;0.2;0.25;0.3;0.35;0.45}-{0;2520;16920;31920;52920;85920;181920},0),2)</f>
        <v>6107.5</v>
      </c>
      <c r="AF22" s="95">
        <f>IFERROR(VLOOKUP(E:E,'（居民）工资表-11月'!E:AF,28,0)+VLOOKUP(E:E,'（居民）工资表-11月'!E:AG,29,0),0)</f>
        <v>4875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74</v>
      </c>
      <c r="C23" s="37"/>
      <c r="D23" s="37" t="s">
        <v>52</v>
      </c>
      <c r="E23" s="37" t="s">
        <v>94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L23+IFERROR(VLOOKUP($E:$E,'（居民）工资表-11月'!$E:$S,15,0),0)</f>
        <v>154000</v>
      </c>
      <c r="T23" s="91">
        <f>5000+IFERROR(VLOOKUP($E:$E,'（居民）工资表-11月'!$E:$T,16,0),0)</f>
        <v>35000</v>
      </c>
      <c r="U23" s="91">
        <f>Q23+IFERROR(VLOOKUP($E:$E,'（居民）工资表-11月'!$E:$U,17,0),0)</f>
        <v>26950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R23+IFERROR(VLOOKUP($E:$E,'（居民）工资表-11月'!$E:$AC,25,0),0)</f>
        <v>0</v>
      </c>
      <c r="AD23" s="93">
        <f t="shared" si="6"/>
        <v>92050</v>
      </c>
      <c r="AE23" s="94">
        <f>ROUND(MAX((AD23)*{0.03;0.1;0.2;0.25;0.3;0.35;0.45}-{0;2520;16920;31920;52920;85920;181920},0),2)</f>
        <v>6685</v>
      </c>
      <c r="AF23" s="95">
        <f>IFERROR(VLOOKUP(E:E,'（居民）工资表-11月'!E:AF,28,0)+VLOOKUP(E:E,'（居民）工资表-11月'!E:AG,29,0),0)</f>
        <v>5370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61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1750000</v>
      </c>
      <c r="T24" s="74">
        <f t="shared" si="12"/>
        <v>700000</v>
      </c>
      <c r="U24" s="74">
        <f t="shared" si="12"/>
        <v>306250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743750</v>
      </c>
      <c r="AE24" s="74">
        <f t="shared" si="12"/>
        <v>44437.75</v>
      </c>
      <c r="AF24" s="74">
        <f t="shared" si="12"/>
        <v>34605</v>
      </c>
      <c r="AG24" s="74">
        <f t="shared" si="12"/>
        <v>9832.75</v>
      </c>
      <c r="AH24" s="74">
        <f t="shared" si="12"/>
        <v>196417.25</v>
      </c>
      <c r="AI24" s="105">
        <f t="shared" si="12"/>
        <v>0</v>
      </c>
      <c r="AJ24" s="74">
        <f t="shared" si="12"/>
        <v>196417.25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62</v>
      </c>
      <c r="D28" s="47" t="s">
        <v>30</v>
      </c>
      <c r="E28" s="47" t="s">
        <v>63</v>
      </c>
      <c r="AD28" s="10"/>
    </row>
    <row r="29" ht="18.75" customHeight="1" spans="2:5">
      <c r="B29" s="48">
        <f>AJ24</f>
        <v>196417.25</v>
      </c>
      <c r="C29" s="48">
        <f>AG24</f>
        <v>9832.75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64</v>
      </c>
      <c r="B31" s="51" t="s">
        <v>65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66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67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68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69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70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71</v>
      </c>
    </row>
    <row r="39" spans="2:2">
      <c r="B39" s="59" t="s">
        <v>72</v>
      </c>
    </row>
    <row r="40" spans="2:2">
      <c r="B40" s="59" t="s">
        <v>73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95</v>
      </c>
      <c r="C1" s="1"/>
      <c r="D1" s="1"/>
      <c r="E1" s="1"/>
    </row>
    <row r="2" ht="21" spans="2:2">
      <c r="B2" s="2"/>
    </row>
    <row r="3" ht="27.75" customHeight="1" spans="2:5">
      <c r="B3" s="3" t="s">
        <v>96</v>
      </c>
      <c r="C3" s="4" t="s">
        <v>97</v>
      </c>
      <c r="D3" s="4" t="s">
        <v>98</v>
      </c>
      <c r="E3" s="4" t="s">
        <v>99</v>
      </c>
    </row>
    <row r="4" ht="29.25" customHeight="1" spans="2:5">
      <c r="B4" s="5">
        <v>1</v>
      </c>
      <c r="C4" s="6" t="s">
        <v>100</v>
      </c>
      <c r="D4" s="7">
        <v>0.03</v>
      </c>
      <c r="E4" s="8">
        <v>0</v>
      </c>
    </row>
    <row r="5" ht="29.25" customHeight="1" spans="2:5">
      <c r="B5" s="5">
        <v>2</v>
      </c>
      <c r="C5" s="6" t="s">
        <v>101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102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103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104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105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106</v>
      </c>
      <c r="D10" s="7">
        <v>0.45</v>
      </c>
      <c r="E10" s="8">
        <v>181920</v>
      </c>
    </row>
    <row r="13" ht="57" customHeight="1" spans="2:5">
      <c r="B13" s="1" t="s">
        <v>107</v>
      </c>
      <c r="C13" s="1"/>
      <c r="D13" s="1"/>
      <c r="E13" s="1"/>
    </row>
    <row r="14" ht="21" spans="2:2">
      <c r="B14" s="2"/>
    </row>
    <row r="15" ht="27.75" customHeight="1" spans="2:5">
      <c r="B15" s="3" t="s">
        <v>96</v>
      </c>
      <c r="C15" s="4" t="s">
        <v>108</v>
      </c>
      <c r="D15" s="4" t="s">
        <v>98</v>
      </c>
      <c r="E15" s="4" t="s">
        <v>99</v>
      </c>
    </row>
    <row r="16" ht="29.25" customHeight="1" spans="2:5">
      <c r="B16" s="5">
        <v>1</v>
      </c>
      <c r="C16" s="6" t="s">
        <v>109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110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111</v>
      </c>
      <c r="D18" s="7">
        <v>0.4</v>
      </c>
      <c r="E18" s="8">
        <v>7000</v>
      </c>
    </row>
    <row r="21" ht="47.25" customHeight="1" spans="2:5">
      <c r="B21" s="1" t="s">
        <v>112</v>
      </c>
      <c r="C21" s="1"/>
      <c r="D21" s="1"/>
      <c r="E21" s="1"/>
    </row>
    <row r="22" ht="21" spans="2:2">
      <c r="B22" s="2"/>
    </row>
    <row r="23" ht="27.75" customHeight="1" spans="2:5">
      <c r="B23" s="3" t="s">
        <v>96</v>
      </c>
      <c r="C23" s="4" t="s">
        <v>113</v>
      </c>
      <c r="D23" s="4" t="s">
        <v>98</v>
      </c>
      <c r="E23" s="4" t="s">
        <v>99</v>
      </c>
    </row>
    <row r="24" ht="29.25" customHeight="1" spans="2:5">
      <c r="B24" s="5">
        <v>1</v>
      </c>
      <c r="C24" s="6" t="s">
        <v>114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115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116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117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118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119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120</v>
      </c>
      <c r="D30" s="7">
        <v>0.45</v>
      </c>
      <c r="E30" s="8">
        <v>15160</v>
      </c>
    </row>
    <row r="35" ht="57" customHeight="1" spans="2:5">
      <c r="B35" s="9" t="s">
        <v>121</v>
      </c>
      <c r="C35" s="9"/>
      <c r="D35" s="9"/>
      <c r="E35" s="9"/>
    </row>
    <row r="36" ht="14.25"/>
    <row r="37" ht="21.75" customHeight="1" spans="2:5">
      <c r="B37" s="3" t="s">
        <v>96</v>
      </c>
      <c r="C37" s="4" t="s">
        <v>122</v>
      </c>
      <c r="D37" s="4" t="s">
        <v>123</v>
      </c>
      <c r="E37" s="4" t="s">
        <v>99</v>
      </c>
    </row>
    <row r="38" ht="21.75" customHeight="1" spans="2:5">
      <c r="B38" s="5">
        <v>1</v>
      </c>
      <c r="C38" s="6" t="s">
        <v>114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115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116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117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118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119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120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M4" sqref="M4:P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>
        <f>U4/2</f>
        <v>462.11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37" t="s">
        <v>51</v>
      </c>
      <c r="D4" s="37" t="s">
        <v>52</v>
      </c>
      <c r="E4" s="37" t="s">
        <v>53</v>
      </c>
      <c r="F4" s="38" t="str">
        <f>IF(MOD(MID(E4,17,1),2)=1,"男","女")</f>
        <v>男</v>
      </c>
      <c r="G4" s="39"/>
      <c r="H4" s="40"/>
      <c r="I4" s="40"/>
      <c r="J4" s="69"/>
      <c r="K4" s="40"/>
      <c r="L4" s="70">
        <v>7500</v>
      </c>
      <c r="M4" s="71">
        <v>256</v>
      </c>
      <c r="N4" s="71">
        <v>84.11</v>
      </c>
      <c r="O4" s="71">
        <v>16</v>
      </c>
      <c r="P4" s="71">
        <v>106</v>
      </c>
      <c r="Q4" s="89">
        <f>ROUND(SUM(M4:P4),2)</f>
        <v>462.11</v>
      </c>
      <c r="R4" s="70">
        <v>0</v>
      </c>
      <c r="S4" s="90">
        <f>L4+IFERROR(VLOOKUP($E:$E,'（居民）工资表-1月'!$E:$S,15,0),0)</f>
        <v>15000</v>
      </c>
      <c r="T4" s="91">
        <f>5000+IFERROR(VLOOKUP($E:$E,'（居民）工资表-1月'!$E:$T,16,0),0)</f>
        <v>10000</v>
      </c>
      <c r="U4" s="91">
        <f>Q4+IFERROR(VLOOKUP($E:$E,'（居民）工资表-1月'!$E:$U,17,0),0)</f>
        <v>924.22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R4+IFERROR(VLOOKUP($E:$E,'（居民）工资表-1月'!$E:$AC,25,0),0)</f>
        <v>0</v>
      </c>
      <c r="AD4" s="93">
        <f>ROUND(S4-T4-U4-AB4-AC4,2)</f>
        <v>4075.78</v>
      </c>
      <c r="AE4" s="94">
        <f>ROUND(MAX((AD4)*{0.03;0.1;0.2;0.25;0.3;0.35;0.45}-{0;2520;16920;31920;52920;85920;181920},0),2)</f>
        <v>122.27</v>
      </c>
      <c r="AF4" s="95">
        <f>IFERROR(VLOOKUP(E:E,'（居民）工资表-1月'!E:AF,28,0)+VLOOKUP(E:E,'（居民）工资表-1月'!E:AG,29,0),0)</f>
        <v>61.14</v>
      </c>
      <c r="AG4" s="95">
        <f>IF((AE4-AF4)&lt;0,0,AE4-AF4)</f>
        <v>61.13</v>
      </c>
      <c r="AH4" s="102">
        <f>ROUND(IF((L4-Q4-AG4)&lt;0,0,(L4-Q4-AG4)),2)</f>
        <v>6976.76</v>
      </c>
      <c r="AI4" s="103"/>
      <c r="AJ4" s="102">
        <f>AH4+AI4</f>
        <v>6976.76</v>
      </c>
      <c r="AK4" s="104"/>
      <c r="AL4" s="102">
        <f>AJ4+AG4+AK4</f>
        <v>7037.89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37" t="s">
        <v>55</v>
      </c>
      <c r="D5" s="37" t="s">
        <v>52</v>
      </c>
      <c r="E5" s="37" t="s">
        <v>56</v>
      </c>
      <c r="F5" s="38" t="str">
        <f>IF(MOD(MID(E5,17,1),2)=1,"男","女")</f>
        <v>男</v>
      </c>
      <c r="G5" s="39"/>
      <c r="H5" s="40"/>
      <c r="I5" s="40"/>
      <c r="J5" s="69"/>
      <c r="K5" s="40"/>
      <c r="L5" s="70">
        <v>3500</v>
      </c>
      <c r="M5" s="71">
        <v>256</v>
      </c>
      <c r="N5" s="71">
        <v>84.11</v>
      </c>
      <c r="O5" s="71">
        <v>16</v>
      </c>
      <c r="P5" s="71">
        <v>106</v>
      </c>
      <c r="Q5" s="89">
        <f>ROUND(SUM(M5:P5),2)</f>
        <v>462.11</v>
      </c>
      <c r="R5" s="70">
        <v>0</v>
      </c>
      <c r="S5" s="90">
        <f>L5+IFERROR(VLOOKUP($E:$E,'（居民）工资表-1月'!$E:$S,15,0),0)</f>
        <v>7000</v>
      </c>
      <c r="T5" s="91">
        <f>5000+IFERROR(VLOOKUP($E:$E,'（居民）工资表-1月'!$E:$T,16,0),0)</f>
        <v>10000</v>
      </c>
      <c r="U5" s="91">
        <f>Q5+IFERROR(VLOOKUP($E:$E,'（居民）工资表-1月'!$E:$U,17,0),0)</f>
        <v>924.22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R5+IFERROR(VLOOKUP($E:$E,'（居民）工资表-1月'!$E:$AC,25,0),0)</f>
        <v>0</v>
      </c>
      <c r="AD5" s="93">
        <f>ROUND(S5-T5-U5-AB5-AC5,2)</f>
        <v>-3924.22</v>
      </c>
      <c r="AE5" s="94">
        <f>ROUND(MAX((AD5)*{0.03;0.1;0.2;0.25;0.3;0.35;0.45}-{0;2520;16920;31920;52920;85920;181920},0),2)</f>
        <v>0</v>
      </c>
      <c r="AF5" s="95">
        <f>IFERROR(VLOOKUP(E:E,'（居民）工资表-1月'!E:AF,28,0)+VLOOKUP(E:E,'（居民）工资表-1月'!E:AG,29,0),0)</f>
        <v>0</v>
      </c>
      <c r="AG5" s="95">
        <f>IF((AE5-AF5)&lt;0,0,AE5-AF5)</f>
        <v>0</v>
      </c>
      <c r="AH5" s="102">
        <f>ROUND(IF((L5-Q5-AG5)&lt;0,0,(L5-Q5-AG5)),2)</f>
        <v>3037.89</v>
      </c>
      <c r="AI5" s="103"/>
      <c r="AJ5" s="102">
        <f>AH5+AI5</f>
        <v>3037.89</v>
      </c>
      <c r="AK5" s="104"/>
      <c r="AL5" s="102">
        <f>AJ5+AG5+AK5</f>
        <v>3037.89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57</v>
      </c>
      <c r="D6" s="37" t="s">
        <v>52</v>
      </c>
      <c r="E6" s="37" t="s">
        <v>58</v>
      </c>
      <c r="F6" s="38" t="str">
        <f>IF(MOD(MID(E6,17,1),2)=1,"男","女")</f>
        <v>男</v>
      </c>
      <c r="G6" s="39"/>
      <c r="H6" s="40"/>
      <c r="I6" s="40"/>
      <c r="J6" s="69"/>
      <c r="K6" s="40"/>
      <c r="L6" s="70">
        <v>4000</v>
      </c>
      <c r="M6" s="71">
        <v>256</v>
      </c>
      <c r="N6" s="71">
        <v>84.11</v>
      </c>
      <c r="O6" s="71">
        <v>16</v>
      </c>
      <c r="P6" s="71">
        <v>106</v>
      </c>
      <c r="Q6" s="89">
        <f>ROUND(SUM(M6:P6),2)</f>
        <v>462.11</v>
      </c>
      <c r="R6" s="70">
        <v>0</v>
      </c>
      <c r="S6" s="90">
        <f>L6+IFERROR(VLOOKUP($E:$E,'（居民）工资表-1月'!$E:$S,15,0),0)</f>
        <v>8000</v>
      </c>
      <c r="T6" s="91">
        <f>5000+IFERROR(VLOOKUP($E:$E,'（居民）工资表-1月'!$E:$T,16,0),0)</f>
        <v>10000</v>
      </c>
      <c r="U6" s="91">
        <f>Q6+IFERROR(VLOOKUP($E:$E,'（居民）工资表-1月'!$E:$U,17,0),0)</f>
        <v>924.22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R6+IFERROR(VLOOKUP($E:$E,'（居民）工资表-1月'!$E:$AC,25,0),0)</f>
        <v>0</v>
      </c>
      <c r="AD6" s="93">
        <f>ROUND(S6-T6-U6-AB6-AC6,2)</f>
        <v>-2924.22</v>
      </c>
      <c r="AE6" s="94">
        <f>ROUND(MAX((AD6)*{0.03;0.1;0.2;0.25;0.3;0.35;0.45}-{0;2520;16920;31920;52920;85920;181920},0),2)</f>
        <v>0</v>
      </c>
      <c r="AF6" s="95">
        <f>IFERROR(VLOOKUP(E:E,'（居民）工资表-1月'!E:AF,28,0)+VLOOKUP(E:E,'（居民）工资表-1月'!E:AG,29,0),0)</f>
        <v>0</v>
      </c>
      <c r="AG6" s="95">
        <f>IF((AE6-AF6)&lt;0,0,AE6-AF6)</f>
        <v>0</v>
      </c>
      <c r="AH6" s="102">
        <f>ROUND(IF((L6-Q6-AG6)&lt;0,0,(L6-Q6-AG6)),2)</f>
        <v>3537.89</v>
      </c>
      <c r="AI6" s="103"/>
      <c r="AJ6" s="102">
        <f>AH6+AI6</f>
        <v>3537.89</v>
      </c>
      <c r="AK6" s="104"/>
      <c r="AL6" s="102">
        <f>AJ6+AG6+AK6</f>
        <v>3537.89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50</v>
      </c>
      <c r="C7" s="37" t="s">
        <v>59</v>
      </c>
      <c r="D7" s="37" t="s">
        <v>52</v>
      </c>
      <c r="E7" s="37" t="s">
        <v>60</v>
      </c>
      <c r="F7" s="38" t="str">
        <f>IF(MOD(MID(E7,17,1),2)=1,"男","女")</f>
        <v>男</v>
      </c>
      <c r="G7" s="39"/>
      <c r="H7" s="40"/>
      <c r="I7" s="40"/>
      <c r="J7" s="69"/>
      <c r="K7" s="40"/>
      <c r="L7" s="70">
        <v>10000</v>
      </c>
      <c r="M7" s="71">
        <v>256</v>
      </c>
      <c r="N7" s="71">
        <v>84.11</v>
      </c>
      <c r="O7" s="71">
        <v>16</v>
      </c>
      <c r="P7" s="71">
        <v>106</v>
      </c>
      <c r="Q7" s="89">
        <f>ROUND(SUM(M7:P7),2)</f>
        <v>462.11</v>
      </c>
      <c r="R7" s="70">
        <v>0</v>
      </c>
      <c r="S7" s="90">
        <f>L7+IFERROR(VLOOKUP($E:$E,'（居民）工资表-1月'!$E:$S,15,0),0)</f>
        <v>20000</v>
      </c>
      <c r="T7" s="91">
        <f>5000+IFERROR(VLOOKUP($E:$E,'（居民）工资表-1月'!$E:$T,16,0),0)</f>
        <v>10000</v>
      </c>
      <c r="U7" s="91">
        <f>Q7+IFERROR(VLOOKUP($E:$E,'（居民）工资表-1月'!$E:$U,17,0),0)</f>
        <v>924.22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R7+IFERROR(VLOOKUP($E:$E,'（居民）工资表-1月'!$E:$AC,25,0),0)</f>
        <v>0</v>
      </c>
      <c r="AD7" s="93">
        <f>ROUND(S7-T7-U7-AB7-AC7,2)</f>
        <v>9075.78</v>
      </c>
      <c r="AE7" s="94">
        <f>ROUND(MAX((AD7)*{0.03;0.1;0.2;0.25;0.3;0.35;0.45}-{0;2520;16920;31920;52920;85920;181920},0),2)</f>
        <v>272.27</v>
      </c>
      <c r="AF7" s="95">
        <f>IFERROR(VLOOKUP(E:E,'（居民）工资表-1月'!E:AF,28,0)+VLOOKUP(E:E,'（居民）工资表-1月'!E:AG,29,0),0)</f>
        <v>286.14</v>
      </c>
      <c r="AG7" s="95">
        <f>IF((AE7-AF7)&lt;0,0,AE7-AF7)</f>
        <v>0</v>
      </c>
      <c r="AH7" s="102">
        <f>ROUND(IF((L7-Q7-AG7)&lt;0,0,(L7-Q7-AG7)),2)</f>
        <v>9537.89</v>
      </c>
      <c r="AI7" s="103"/>
      <c r="AJ7" s="102">
        <f>AH7+AI7</f>
        <v>9537.89</v>
      </c>
      <c r="AK7" s="104"/>
      <c r="AL7" s="102">
        <f>AJ7+AG7+AK7</f>
        <v>9537.89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61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0">SUM(L4:L7)</f>
        <v>25000</v>
      </c>
      <c r="M8" s="74">
        <f t="shared" si="0"/>
        <v>1024</v>
      </c>
      <c r="N8" s="74">
        <f t="shared" si="0"/>
        <v>336.44</v>
      </c>
      <c r="O8" s="74">
        <f t="shared" si="0"/>
        <v>64</v>
      </c>
      <c r="P8" s="74">
        <f t="shared" si="0"/>
        <v>424</v>
      </c>
      <c r="Q8" s="74">
        <f t="shared" si="0"/>
        <v>1848.44</v>
      </c>
      <c r="R8" s="74">
        <f t="shared" si="0"/>
        <v>0</v>
      </c>
      <c r="S8" s="74">
        <f t="shared" si="0"/>
        <v>50000</v>
      </c>
      <c r="T8" s="74">
        <f t="shared" si="0"/>
        <v>40000</v>
      </c>
      <c r="U8" s="74">
        <f t="shared" si="0"/>
        <v>3696.88</v>
      </c>
      <c r="V8" s="74">
        <f t="shared" si="0"/>
        <v>0</v>
      </c>
      <c r="W8" s="74">
        <f t="shared" si="0"/>
        <v>0</v>
      </c>
      <c r="X8" s="74">
        <f t="shared" si="0"/>
        <v>0</v>
      </c>
      <c r="Y8" s="74">
        <f t="shared" si="0"/>
        <v>0</v>
      </c>
      <c r="Z8" s="74">
        <f t="shared" si="0"/>
        <v>0</v>
      </c>
      <c r="AA8" s="74">
        <f t="shared" si="0"/>
        <v>0</v>
      </c>
      <c r="AB8" s="74">
        <f t="shared" si="0"/>
        <v>0</v>
      </c>
      <c r="AC8" s="74">
        <f t="shared" si="0"/>
        <v>0</v>
      </c>
      <c r="AD8" s="74">
        <f t="shared" si="0"/>
        <v>6303.12</v>
      </c>
      <c r="AE8" s="74">
        <f t="shared" si="0"/>
        <v>394.54</v>
      </c>
      <c r="AF8" s="74">
        <f t="shared" si="0"/>
        <v>347.28</v>
      </c>
      <c r="AG8" s="74">
        <f t="shared" si="0"/>
        <v>61.13</v>
      </c>
      <c r="AH8" s="74">
        <f t="shared" si="0"/>
        <v>23090.43</v>
      </c>
      <c r="AI8" s="105">
        <f t="shared" si="0"/>
        <v>0</v>
      </c>
      <c r="AJ8" s="74">
        <f t="shared" si="0"/>
        <v>23090.43</v>
      </c>
      <c r="AK8" s="74">
        <f t="shared" si="0"/>
        <v>0</v>
      </c>
      <c r="AL8" s="74">
        <f t="shared" si="0"/>
        <v>23151.56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0">
      <c r="B12" s="47" t="s">
        <v>29</v>
      </c>
      <c r="C12" s="47" t="s">
        <v>62</v>
      </c>
      <c r="D12" s="47" t="s">
        <v>30</v>
      </c>
      <c r="E12" s="47" t="s">
        <v>63</v>
      </c>
      <c r="AD12" s="10"/>
    </row>
    <row r="13" ht="18.75" customHeight="1" spans="2:5">
      <c r="B13" s="48">
        <f>AJ8</f>
        <v>23090.43</v>
      </c>
      <c r="C13" s="48">
        <f>AG8</f>
        <v>61.13</v>
      </c>
      <c r="D13" s="48">
        <f>AK8</f>
        <v>0</v>
      </c>
      <c r="E13" s="48">
        <f>B13+C13+D13</f>
        <v>23151.56</v>
      </c>
    </row>
    <row r="14" spans="2:5">
      <c r="B14" s="49"/>
      <c r="C14" s="49"/>
      <c r="D14" s="49"/>
      <c r="E14" s="49"/>
    </row>
    <row r="15" s="14" customFormat="1" spans="1:35">
      <c r="A15" s="50" t="s">
        <v>64</v>
      </c>
      <c r="B15" s="51" t="s">
        <v>65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66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67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69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70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71</v>
      </c>
    </row>
    <row r="23" spans="2:2">
      <c r="B23" s="59" t="s">
        <v>72</v>
      </c>
    </row>
    <row r="24" spans="2:2">
      <c r="B24" s="59" t="s">
        <v>73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0" priority="2" stopIfTrue="1"/>
  </conditionalFormatting>
  <conditionalFormatting sqref="B15:B19">
    <cfRule type="duplicateValues" dxfId="0" priority="3" stopIfTrue="1"/>
  </conditionalFormatting>
  <conditionalFormatting sqref="B23:B24">
    <cfRule type="duplicateValues" dxfId="0" priority="1" stopIfTrue="1"/>
  </conditionalFormatting>
  <conditionalFormatting sqref="C12:C14">
    <cfRule type="duplicateValues" dxfId="0" priority="4" stopIfTrue="1"/>
    <cfRule type="expression" dxfId="1" priority="5" stopIfTrue="1">
      <formula>AND(COUNTIF($B$8:$B$65444,C12)+COUNTIF($B$1:$B$3,C12)&gt;1,NOT(ISBLANK(C12)))</formula>
    </cfRule>
    <cfRule type="expression" dxfId="1" priority="6" stopIfTrue="1">
      <formula>AND(COUNTIF($B$19:$B$65395,C12)+COUNTIF($B$1:$B$18,C12)&gt;1,NOT(ISBLANK(C12)))</formula>
    </cfRule>
    <cfRule type="expression" dxfId="1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40" fitToWidth="2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L4" sqref="L4:P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37" t="s">
        <v>51</v>
      </c>
      <c r="D4" s="37" t="s">
        <v>52</v>
      </c>
      <c r="E4" s="37" t="s">
        <v>53</v>
      </c>
      <c r="F4" s="38" t="s">
        <v>54</v>
      </c>
      <c r="G4" s="39"/>
      <c r="H4" s="40"/>
      <c r="I4" s="40"/>
      <c r="J4" s="69"/>
      <c r="K4" s="40"/>
      <c r="L4" s="70">
        <v>7500</v>
      </c>
      <c r="M4" s="71">
        <v>256</v>
      </c>
      <c r="N4" s="71">
        <v>84.11</v>
      </c>
      <c r="O4" s="71">
        <v>16</v>
      </c>
      <c r="P4" s="71">
        <v>106</v>
      </c>
      <c r="Q4" s="89">
        <f>ROUND(SUM(M4:P4),2)</f>
        <v>462.11</v>
      </c>
      <c r="R4" s="70">
        <v>0</v>
      </c>
      <c r="S4" s="90">
        <f>L4+IFERROR(VLOOKUP($E:$E,'（居民）工资表-2月'!$E:$S,15,0),0)</f>
        <v>22500</v>
      </c>
      <c r="T4" s="91">
        <f>5000+IFERROR(VLOOKUP($E:$E,'（居民）工资表-2月'!$E:$T,16,0),0)</f>
        <v>15000</v>
      </c>
      <c r="U4" s="91">
        <f>Q4+IFERROR(VLOOKUP($E:$E,'（居民）工资表-2月'!$E:$U,17,0),0)</f>
        <v>1386.33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R4+IFERROR(VLOOKUP($E:$E,'（居民）工资表-2月'!$E:$AC,25,0),0)</f>
        <v>0</v>
      </c>
      <c r="AD4" s="93">
        <f>ROUND(S4-T4-U4-AB4-AC4,2)</f>
        <v>6113.67</v>
      </c>
      <c r="AE4" s="94">
        <f>ROUND(MAX((AD4)*{0.03;0.1;0.2;0.25;0.3;0.35;0.45}-{0;2520;16920;31920;52920;85920;181920},0),2)</f>
        <v>183.41</v>
      </c>
      <c r="AF4" s="95">
        <f>IFERROR(VLOOKUP(E:E,'（居民）工资表-2月'!E:AF,28,0)+VLOOKUP(E:E,'（居民）工资表-2月'!E:AG,29,0),0)</f>
        <v>122.27</v>
      </c>
      <c r="AG4" s="95">
        <f>IF((AE4-AF4)&lt;0,0,AE4-AF4)</f>
        <v>61.14</v>
      </c>
      <c r="AH4" s="102">
        <f>ROUND(IF((L4-Q4-AG4)&lt;0,0,(L4-Q4-AG4)),2)</f>
        <v>6976.75</v>
      </c>
      <c r="AI4" s="103"/>
      <c r="AJ4" s="102">
        <f>AH4+AI4</f>
        <v>6976.75</v>
      </c>
      <c r="AK4" s="104"/>
      <c r="AL4" s="102">
        <f>AJ4+AG4+AK4</f>
        <v>7037.89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37" t="s">
        <v>55</v>
      </c>
      <c r="D5" s="37" t="s">
        <v>52</v>
      </c>
      <c r="E5" s="37" t="s">
        <v>56</v>
      </c>
      <c r="F5" s="38" t="s">
        <v>54</v>
      </c>
      <c r="G5" s="39"/>
      <c r="H5" s="40"/>
      <c r="I5" s="40"/>
      <c r="J5" s="69"/>
      <c r="K5" s="40"/>
      <c r="L5" s="70">
        <v>3500</v>
      </c>
      <c r="M5" s="71">
        <v>256</v>
      </c>
      <c r="N5" s="71">
        <v>84.11</v>
      </c>
      <c r="O5" s="71">
        <v>16</v>
      </c>
      <c r="P5" s="71">
        <v>106</v>
      </c>
      <c r="Q5" s="89">
        <f>ROUND(SUM(M5:P5),2)</f>
        <v>462.11</v>
      </c>
      <c r="R5" s="70">
        <v>0</v>
      </c>
      <c r="S5" s="90">
        <f>L5+IFERROR(VLOOKUP($E:$E,'（居民）工资表-2月'!$E:$S,15,0),0)</f>
        <v>10500</v>
      </c>
      <c r="T5" s="91">
        <f>5000+IFERROR(VLOOKUP($E:$E,'（居民）工资表-2月'!$E:$T,16,0),0)</f>
        <v>15000</v>
      </c>
      <c r="U5" s="91">
        <f>Q5+IFERROR(VLOOKUP($E:$E,'（居民）工资表-2月'!$E:$U,17,0),0)</f>
        <v>1386.33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R5+IFERROR(VLOOKUP($E:$E,'（居民）工资表-2月'!$E:$AC,25,0),0)</f>
        <v>0</v>
      </c>
      <c r="AD5" s="93">
        <f>ROUND(S5-T5-U5-AB5-AC5,2)</f>
        <v>-5886.33</v>
      </c>
      <c r="AE5" s="94">
        <f>ROUND(MAX((AD5)*{0.03;0.1;0.2;0.25;0.3;0.35;0.45}-{0;2520;16920;31920;52920;85920;181920},0),2)</f>
        <v>0</v>
      </c>
      <c r="AF5" s="95">
        <f>IFERROR(VLOOKUP(E:E,'（居民）工资表-2月'!E:AF,28,0)+VLOOKUP(E:E,'（居民）工资表-2月'!E:AG,29,0),0)</f>
        <v>0</v>
      </c>
      <c r="AG5" s="95">
        <f>IF((AE5-AF5)&lt;0,0,AE5-AF5)</f>
        <v>0</v>
      </c>
      <c r="AH5" s="102">
        <f>ROUND(IF((L5-Q5-AG5)&lt;0,0,(L5-Q5-AG5)),2)</f>
        <v>3037.89</v>
      </c>
      <c r="AI5" s="103"/>
      <c r="AJ5" s="102">
        <f>AH5+AI5</f>
        <v>3037.89</v>
      </c>
      <c r="AK5" s="104"/>
      <c r="AL5" s="102">
        <f>AJ5+AG5+AK5</f>
        <v>3037.89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57</v>
      </c>
      <c r="D6" s="37" t="s">
        <v>52</v>
      </c>
      <c r="E6" s="37" t="s">
        <v>58</v>
      </c>
      <c r="F6" s="38" t="s">
        <v>54</v>
      </c>
      <c r="G6" s="39"/>
      <c r="H6" s="40"/>
      <c r="I6" s="40"/>
      <c r="J6" s="69"/>
      <c r="K6" s="40"/>
      <c r="L6" s="70">
        <v>4000</v>
      </c>
      <c r="M6" s="71">
        <v>256</v>
      </c>
      <c r="N6" s="71">
        <v>84.11</v>
      </c>
      <c r="O6" s="71">
        <v>16</v>
      </c>
      <c r="P6" s="71">
        <v>106</v>
      </c>
      <c r="Q6" s="89">
        <f>ROUND(SUM(M6:P6),2)</f>
        <v>462.11</v>
      </c>
      <c r="R6" s="70">
        <v>0</v>
      </c>
      <c r="S6" s="90">
        <f>L6+IFERROR(VLOOKUP($E:$E,'（居民）工资表-2月'!$E:$S,15,0),0)</f>
        <v>12000</v>
      </c>
      <c r="T6" s="91">
        <f>5000+IFERROR(VLOOKUP($E:$E,'（居民）工资表-2月'!$E:$T,16,0),0)</f>
        <v>15000</v>
      </c>
      <c r="U6" s="91">
        <f>Q6+IFERROR(VLOOKUP($E:$E,'（居民）工资表-2月'!$E:$U,17,0),0)</f>
        <v>1386.33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R6+IFERROR(VLOOKUP($E:$E,'（居民）工资表-2月'!$E:$AC,25,0),0)</f>
        <v>0</v>
      </c>
      <c r="AD6" s="93">
        <f>ROUND(S6-T6-U6-AB6-AC6,2)</f>
        <v>-4386.33</v>
      </c>
      <c r="AE6" s="94">
        <f>ROUND(MAX((AD6)*{0.03;0.1;0.2;0.25;0.3;0.35;0.45}-{0;2520;16920;31920;52920;85920;181920},0),2)</f>
        <v>0</v>
      </c>
      <c r="AF6" s="95">
        <f>IFERROR(VLOOKUP(E:E,'（居民）工资表-2月'!E:AF,28,0)+VLOOKUP(E:E,'（居民）工资表-2月'!E:AG,29,0),0)</f>
        <v>0</v>
      </c>
      <c r="AG6" s="95">
        <f>IF((AE6-AF6)&lt;0,0,AE6-AF6)</f>
        <v>0</v>
      </c>
      <c r="AH6" s="102">
        <f>ROUND(IF((L6-Q6-AG6)&lt;0,0,(L6-Q6-AG6)),2)</f>
        <v>3537.89</v>
      </c>
      <c r="AI6" s="103"/>
      <c r="AJ6" s="102">
        <f>AH6+AI6</f>
        <v>3537.89</v>
      </c>
      <c r="AK6" s="104"/>
      <c r="AL6" s="102">
        <f>AJ6+AG6+AK6</f>
        <v>3537.89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50</v>
      </c>
      <c r="C7" s="37" t="s">
        <v>59</v>
      </c>
      <c r="D7" s="37" t="s">
        <v>52</v>
      </c>
      <c r="E7" s="37" t="s">
        <v>60</v>
      </c>
      <c r="F7" s="38" t="s">
        <v>54</v>
      </c>
      <c r="G7" s="39"/>
      <c r="H7" s="40"/>
      <c r="I7" s="40"/>
      <c r="J7" s="69"/>
      <c r="K7" s="40"/>
      <c r="L7" s="70">
        <v>10000</v>
      </c>
      <c r="M7" s="71">
        <v>256</v>
      </c>
      <c r="N7" s="71">
        <v>84.11</v>
      </c>
      <c r="O7" s="71">
        <v>16</v>
      </c>
      <c r="P7" s="71">
        <v>106</v>
      </c>
      <c r="Q7" s="89">
        <f>ROUND(SUM(M7:P7),2)</f>
        <v>462.11</v>
      </c>
      <c r="R7" s="70">
        <v>0</v>
      </c>
      <c r="S7" s="90">
        <f>L7+IFERROR(VLOOKUP($E:$E,'（居民）工资表-2月'!$E:$S,15,0),0)</f>
        <v>30000</v>
      </c>
      <c r="T7" s="91">
        <f>5000+IFERROR(VLOOKUP($E:$E,'（居民）工资表-2月'!$E:$T,16,0),0)</f>
        <v>15000</v>
      </c>
      <c r="U7" s="91">
        <f>Q7+IFERROR(VLOOKUP($E:$E,'（居民）工资表-2月'!$E:$U,17,0),0)</f>
        <v>1386.33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R7+IFERROR(VLOOKUP($E:$E,'（居民）工资表-2月'!$E:$AC,25,0),0)</f>
        <v>0</v>
      </c>
      <c r="AD7" s="93">
        <f>ROUND(S7-T7-U7-AB7-AC7,2)</f>
        <v>13613.67</v>
      </c>
      <c r="AE7" s="94">
        <f>ROUND(MAX((AD7)*{0.03;0.1;0.2;0.25;0.3;0.35;0.45}-{0;2520;16920;31920;52920;85920;181920},0),2)</f>
        <v>408.41</v>
      </c>
      <c r="AF7" s="95">
        <f>IFERROR(VLOOKUP(E:E,'（居民）工资表-2月'!E:AF,28,0)+VLOOKUP(E:E,'（居民）工资表-2月'!E:AG,29,0),0)</f>
        <v>286.14</v>
      </c>
      <c r="AG7" s="95">
        <f>IF((AE7-AF7)&lt;0,0,AE7-AF7)</f>
        <v>122.27</v>
      </c>
      <c r="AH7" s="102">
        <f>ROUND(IF((L7-Q7-AG7)&lt;0,0,(L7-Q7-AG7)),2)</f>
        <v>9415.62</v>
      </c>
      <c r="AI7" s="103"/>
      <c r="AJ7" s="102">
        <f>AH7+AI7</f>
        <v>9415.62</v>
      </c>
      <c r="AK7" s="104"/>
      <c r="AL7" s="102">
        <f>AJ7+AG7+AK7</f>
        <v>9537.89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61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0">SUM(L4:L7)</f>
        <v>25000</v>
      </c>
      <c r="M8" s="74">
        <f t="shared" si="0"/>
        <v>1024</v>
      </c>
      <c r="N8" s="74">
        <f t="shared" si="0"/>
        <v>336.44</v>
      </c>
      <c r="O8" s="74">
        <f t="shared" si="0"/>
        <v>64</v>
      </c>
      <c r="P8" s="74">
        <f t="shared" si="0"/>
        <v>424</v>
      </c>
      <c r="Q8" s="74">
        <f t="shared" si="0"/>
        <v>1848.44</v>
      </c>
      <c r="R8" s="74">
        <f t="shared" si="0"/>
        <v>0</v>
      </c>
      <c r="S8" s="74">
        <f t="shared" si="0"/>
        <v>75000</v>
      </c>
      <c r="T8" s="74">
        <f t="shared" si="0"/>
        <v>60000</v>
      </c>
      <c r="U8" s="74">
        <f t="shared" si="0"/>
        <v>5545.32</v>
      </c>
      <c r="V8" s="74">
        <f t="shared" si="0"/>
        <v>0</v>
      </c>
      <c r="W8" s="74">
        <f t="shared" si="0"/>
        <v>0</v>
      </c>
      <c r="X8" s="74">
        <f t="shared" si="0"/>
        <v>0</v>
      </c>
      <c r="Y8" s="74">
        <f t="shared" si="0"/>
        <v>0</v>
      </c>
      <c r="Z8" s="74">
        <f t="shared" si="0"/>
        <v>0</v>
      </c>
      <c r="AA8" s="74">
        <f t="shared" si="0"/>
        <v>0</v>
      </c>
      <c r="AB8" s="74">
        <f t="shared" si="0"/>
        <v>0</v>
      </c>
      <c r="AC8" s="74">
        <f t="shared" si="0"/>
        <v>0</v>
      </c>
      <c r="AD8" s="74">
        <f t="shared" si="0"/>
        <v>9454.68</v>
      </c>
      <c r="AE8" s="74">
        <f t="shared" si="0"/>
        <v>591.82</v>
      </c>
      <c r="AF8" s="74">
        <f t="shared" si="0"/>
        <v>408.41</v>
      </c>
      <c r="AG8" s="74">
        <f t="shared" si="0"/>
        <v>183.41</v>
      </c>
      <c r="AH8" s="74">
        <f t="shared" si="0"/>
        <v>22968.15</v>
      </c>
      <c r="AI8" s="105">
        <f t="shared" si="0"/>
        <v>0</v>
      </c>
      <c r="AJ8" s="74">
        <f t="shared" si="0"/>
        <v>22968.15</v>
      </c>
      <c r="AK8" s="74">
        <f t="shared" si="0"/>
        <v>0</v>
      </c>
      <c r="AL8" s="74">
        <f t="shared" si="0"/>
        <v>23151.56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0">
      <c r="B12" s="47" t="s">
        <v>29</v>
      </c>
      <c r="C12" s="47" t="s">
        <v>62</v>
      </c>
      <c r="D12" s="47" t="s">
        <v>30</v>
      </c>
      <c r="E12" s="47" t="s">
        <v>63</v>
      </c>
      <c r="AD12" s="10"/>
    </row>
    <row r="13" ht="18.75" customHeight="1" spans="2:5">
      <c r="B13" s="48">
        <f>AJ8</f>
        <v>22968.15</v>
      </c>
      <c r="C13" s="48">
        <f>AG8</f>
        <v>183.41</v>
      </c>
      <c r="D13" s="48">
        <f>AK8</f>
        <v>0</v>
      </c>
      <c r="E13" s="48">
        <f>B13+C13+D13</f>
        <v>23151.56</v>
      </c>
    </row>
    <row r="14" spans="2:5">
      <c r="B14" s="49"/>
      <c r="C14" s="49"/>
      <c r="D14" s="49"/>
      <c r="E14" s="49"/>
    </row>
    <row r="15" s="14" customFormat="1" spans="1:35">
      <c r="A15" s="50" t="s">
        <v>64</v>
      </c>
      <c r="B15" s="51" t="s">
        <v>65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66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67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69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70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71</v>
      </c>
    </row>
    <row r="23" spans="2:2">
      <c r="B23" s="59" t="s">
        <v>72</v>
      </c>
    </row>
    <row r="24" spans="2:2">
      <c r="B24" s="59" t="s">
        <v>73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0" priority="2" stopIfTrue="1"/>
  </conditionalFormatting>
  <conditionalFormatting sqref="B15:B19">
    <cfRule type="duplicateValues" dxfId="0" priority="3" stopIfTrue="1"/>
  </conditionalFormatting>
  <conditionalFormatting sqref="B23:B24">
    <cfRule type="duplicateValues" dxfId="0" priority="1" stopIfTrue="1"/>
  </conditionalFormatting>
  <conditionalFormatting sqref="C12:C14">
    <cfRule type="duplicateValues" dxfId="0" priority="4" stopIfTrue="1"/>
    <cfRule type="expression" dxfId="1" priority="5" stopIfTrue="1">
      <formula>AND(COUNTIF($B$8:$B$65444,C12)+COUNTIF($B$1:$B$3,C12)&gt;1,NOT(ISBLANK(C12)))</formula>
    </cfRule>
    <cfRule type="expression" dxfId="1" priority="6" stopIfTrue="1">
      <formula>AND(COUNTIF($B$19:$B$65395,C12)+COUNTIF($B$1:$B$18,C12)&gt;1,NOT(ISBLANK(C12)))</formula>
    </cfRule>
    <cfRule type="expression" dxfId="1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L4" sqref="L4:P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37" t="s">
        <v>51</v>
      </c>
      <c r="D4" s="37" t="s">
        <v>52</v>
      </c>
      <c r="E4" s="37" t="s">
        <v>53</v>
      </c>
      <c r="F4" s="38" t="str">
        <f>IF(MOD(MID(E4,17,1),2)=1,"男","女")</f>
        <v>男</v>
      </c>
      <c r="G4" s="39"/>
      <c r="H4" s="40"/>
      <c r="I4" s="40"/>
      <c r="J4" s="69"/>
      <c r="K4" s="40"/>
      <c r="L4" s="70">
        <v>7500</v>
      </c>
      <c r="M4" s="71">
        <v>256</v>
      </c>
      <c r="N4" s="71">
        <v>84.11</v>
      </c>
      <c r="O4" s="71">
        <v>16</v>
      </c>
      <c r="P4" s="71">
        <v>106</v>
      </c>
      <c r="Q4" s="89">
        <f>ROUND(SUM(M4:P4),2)</f>
        <v>462.11</v>
      </c>
      <c r="R4" s="70">
        <v>0</v>
      </c>
      <c r="S4" s="90">
        <f>L4+IFERROR(VLOOKUP($E:$E,'（居民）工资表-3月'!$E:$S,15,0),0)</f>
        <v>30000</v>
      </c>
      <c r="T4" s="91">
        <f>5000+IFERROR(VLOOKUP($E:$E,'（居民）工资表-3月'!$E:$T,16,0),0)</f>
        <v>20000</v>
      </c>
      <c r="U4" s="91">
        <f>Q4+IFERROR(VLOOKUP($E:$E,'（居民）工资表-3月'!$E:$U,17,0),0)</f>
        <v>1848.44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R4+IFERROR(VLOOKUP($E:$E,'（居民）工资表-3月'!$E:$AC,25,0),0)</f>
        <v>0</v>
      </c>
      <c r="AD4" s="93">
        <f>ROUND(S4-T4-U4-AB4-AC4,2)</f>
        <v>8151.56</v>
      </c>
      <c r="AE4" s="94">
        <f>ROUND(MAX((AD4)*{0.03;0.1;0.2;0.25;0.3;0.35;0.45}-{0;2520;16920;31920;52920;85920;181920},0),2)</f>
        <v>244.55</v>
      </c>
      <c r="AF4" s="95">
        <f>IFERROR(VLOOKUP(E:E,'（居民）工资表-3月'!E:AF,28,0)+VLOOKUP(E:E,'（居民）工资表-3月'!E:AG,29,0),0)</f>
        <v>183.41</v>
      </c>
      <c r="AG4" s="95">
        <f>IF((AE4-AF4)&lt;0,0,AE4-AF4)</f>
        <v>61.14</v>
      </c>
      <c r="AH4" s="102">
        <f>ROUND(IF((L4-Q4-AG4)&lt;0,0,(L4-Q4-AG4)),2)</f>
        <v>6976.75</v>
      </c>
      <c r="AI4" s="103"/>
      <c r="AJ4" s="102">
        <f>AH4+AI4</f>
        <v>6976.75</v>
      </c>
      <c r="AK4" s="104"/>
      <c r="AL4" s="102">
        <f>AJ4+AG4+AK4</f>
        <v>7037.89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37" t="s">
        <v>55</v>
      </c>
      <c r="D5" s="37" t="s">
        <v>52</v>
      </c>
      <c r="E5" s="37" t="s">
        <v>56</v>
      </c>
      <c r="F5" s="38" t="str">
        <f>IF(MOD(MID(E5,17,1),2)=1,"男","女")</f>
        <v>男</v>
      </c>
      <c r="G5" s="39"/>
      <c r="H5" s="40"/>
      <c r="I5" s="40"/>
      <c r="J5" s="69"/>
      <c r="K5" s="40"/>
      <c r="L5" s="70">
        <v>3500</v>
      </c>
      <c r="M5" s="71">
        <v>256</v>
      </c>
      <c r="N5" s="71">
        <v>84.11</v>
      </c>
      <c r="O5" s="71">
        <v>16</v>
      </c>
      <c r="P5" s="71">
        <v>106</v>
      </c>
      <c r="Q5" s="89">
        <f>ROUND(SUM(M5:P5),2)</f>
        <v>462.11</v>
      </c>
      <c r="R5" s="70">
        <v>0</v>
      </c>
      <c r="S5" s="90">
        <f>L5+IFERROR(VLOOKUP($E:$E,'（居民）工资表-3月'!$E:$S,15,0),0)</f>
        <v>14000</v>
      </c>
      <c r="T5" s="91">
        <f>5000+IFERROR(VLOOKUP($E:$E,'（居民）工资表-3月'!$E:$T,16,0),0)</f>
        <v>20000</v>
      </c>
      <c r="U5" s="91">
        <f>Q5+IFERROR(VLOOKUP($E:$E,'（居民）工资表-3月'!$E:$U,17,0),0)</f>
        <v>1848.44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R5+IFERROR(VLOOKUP($E:$E,'（居民）工资表-3月'!$E:$AC,25,0),0)</f>
        <v>0</v>
      </c>
      <c r="AD5" s="93">
        <f>ROUND(S5-T5-U5-AB5-AC5,2)</f>
        <v>-7848.44</v>
      </c>
      <c r="AE5" s="94">
        <f>ROUND(MAX((AD5)*{0.03;0.1;0.2;0.25;0.3;0.35;0.45}-{0;2520;16920;31920;52920;85920;181920},0),2)</f>
        <v>0</v>
      </c>
      <c r="AF5" s="95">
        <f>IFERROR(VLOOKUP(E:E,'（居民）工资表-3月'!E:AF,28,0)+VLOOKUP(E:E,'（居民）工资表-3月'!E:AG,29,0),0)</f>
        <v>0</v>
      </c>
      <c r="AG5" s="95">
        <f>IF((AE5-AF5)&lt;0,0,AE5-AF5)</f>
        <v>0</v>
      </c>
      <c r="AH5" s="102">
        <f>ROUND(IF((L5-Q5-AG5)&lt;0,0,(L5-Q5-AG5)),2)</f>
        <v>3037.89</v>
      </c>
      <c r="AI5" s="103"/>
      <c r="AJ5" s="102">
        <f>AH5+AI5</f>
        <v>3037.89</v>
      </c>
      <c r="AK5" s="104"/>
      <c r="AL5" s="102">
        <f>AJ5+AG5+AK5</f>
        <v>3037.89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57</v>
      </c>
      <c r="D6" s="37" t="s">
        <v>52</v>
      </c>
      <c r="E6" s="37" t="s">
        <v>58</v>
      </c>
      <c r="F6" s="38" t="str">
        <f>IF(MOD(MID(E6,17,1),2)=1,"男","女")</f>
        <v>男</v>
      </c>
      <c r="G6" s="39"/>
      <c r="H6" s="40"/>
      <c r="I6" s="40"/>
      <c r="J6" s="69"/>
      <c r="K6" s="40"/>
      <c r="L6" s="70">
        <v>4000</v>
      </c>
      <c r="M6" s="71">
        <v>256</v>
      </c>
      <c r="N6" s="71">
        <v>84.11</v>
      </c>
      <c r="O6" s="71">
        <v>16</v>
      </c>
      <c r="P6" s="71">
        <v>106</v>
      </c>
      <c r="Q6" s="89">
        <f>ROUND(SUM(M6:P6),2)</f>
        <v>462.11</v>
      </c>
      <c r="R6" s="70">
        <v>0</v>
      </c>
      <c r="S6" s="90">
        <f>L6+IFERROR(VLOOKUP($E:$E,'（居民）工资表-3月'!$E:$S,15,0),0)</f>
        <v>16000</v>
      </c>
      <c r="T6" s="91">
        <f>5000+IFERROR(VLOOKUP($E:$E,'（居民）工资表-3月'!$E:$T,16,0),0)</f>
        <v>20000</v>
      </c>
      <c r="U6" s="91">
        <f>Q6+IFERROR(VLOOKUP($E:$E,'（居民）工资表-3月'!$E:$U,17,0),0)</f>
        <v>1848.44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R6+IFERROR(VLOOKUP($E:$E,'（居民）工资表-3月'!$E:$AC,25,0),0)</f>
        <v>0</v>
      </c>
      <c r="AD6" s="93">
        <f>ROUND(S6-T6-U6-AB6-AC6,2)</f>
        <v>-5848.44</v>
      </c>
      <c r="AE6" s="94">
        <f>ROUND(MAX((AD6)*{0.03;0.1;0.2;0.25;0.3;0.35;0.45}-{0;2520;16920;31920;52920;85920;181920},0),2)</f>
        <v>0</v>
      </c>
      <c r="AF6" s="95">
        <f>IFERROR(VLOOKUP(E:E,'（居民）工资表-3月'!E:AF,28,0)+VLOOKUP(E:E,'（居民）工资表-3月'!E:AG,29,0),0)</f>
        <v>0</v>
      </c>
      <c r="AG6" s="95">
        <f>IF((AE6-AF6)&lt;0,0,AE6-AF6)</f>
        <v>0</v>
      </c>
      <c r="AH6" s="102">
        <f>ROUND(IF((L6-Q6-AG6)&lt;0,0,(L6-Q6-AG6)),2)</f>
        <v>3537.89</v>
      </c>
      <c r="AI6" s="103"/>
      <c r="AJ6" s="102">
        <f>AH6+AI6</f>
        <v>3537.89</v>
      </c>
      <c r="AK6" s="104"/>
      <c r="AL6" s="102">
        <f>AJ6+AG6+AK6</f>
        <v>3537.89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50</v>
      </c>
      <c r="C7" s="37" t="s">
        <v>59</v>
      </c>
      <c r="D7" s="37" t="s">
        <v>52</v>
      </c>
      <c r="E7" s="37" t="s">
        <v>60</v>
      </c>
      <c r="F7" s="38" t="str">
        <f>IF(MOD(MID(E7,17,1),2)=1,"男","女")</f>
        <v>男</v>
      </c>
      <c r="G7" s="39"/>
      <c r="H7" s="40"/>
      <c r="I7" s="40"/>
      <c r="J7" s="69"/>
      <c r="K7" s="40"/>
      <c r="L7" s="70">
        <v>10000</v>
      </c>
      <c r="M7" s="71">
        <v>256</v>
      </c>
      <c r="N7" s="71">
        <v>84.11</v>
      </c>
      <c r="O7" s="71">
        <v>16</v>
      </c>
      <c r="P7" s="71">
        <v>106</v>
      </c>
      <c r="Q7" s="89">
        <f>ROUND(SUM(M7:P7),2)</f>
        <v>462.11</v>
      </c>
      <c r="R7" s="70">
        <v>0</v>
      </c>
      <c r="S7" s="90">
        <f>L7+IFERROR(VLOOKUP($E:$E,'（居民）工资表-3月'!$E:$S,15,0),0)</f>
        <v>40000</v>
      </c>
      <c r="T7" s="91">
        <f>5000+IFERROR(VLOOKUP($E:$E,'（居民）工资表-3月'!$E:$T,16,0),0)</f>
        <v>20000</v>
      </c>
      <c r="U7" s="91">
        <f>Q7+IFERROR(VLOOKUP($E:$E,'（居民）工资表-3月'!$E:$U,17,0),0)</f>
        <v>1848.44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R7+IFERROR(VLOOKUP($E:$E,'（居民）工资表-3月'!$E:$AC,25,0),0)</f>
        <v>0</v>
      </c>
      <c r="AD7" s="93">
        <f>ROUND(S7-T7-U7-AB7-AC7,2)</f>
        <v>18151.56</v>
      </c>
      <c r="AE7" s="94">
        <f>ROUND(MAX((AD7)*{0.03;0.1;0.2;0.25;0.3;0.35;0.45}-{0;2520;16920;31920;52920;85920;181920},0),2)</f>
        <v>544.55</v>
      </c>
      <c r="AF7" s="95">
        <f>IFERROR(VLOOKUP(E:E,'（居民）工资表-3月'!E:AF,28,0)+VLOOKUP(E:E,'（居民）工资表-3月'!E:AG,29,0),0)</f>
        <v>408.41</v>
      </c>
      <c r="AG7" s="95">
        <f>IF((AE7-AF7)&lt;0,0,AE7-AF7)</f>
        <v>136.14</v>
      </c>
      <c r="AH7" s="102">
        <f>ROUND(IF((L7-Q7-AG7)&lt;0,0,(L7-Q7-AG7)),2)</f>
        <v>9401.75</v>
      </c>
      <c r="AI7" s="103"/>
      <c r="AJ7" s="102">
        <f>AH7+AI7</f>
        <v>9401.75</v>
      </c>
      <c r="AK7" s="104"/>
      <c r="AL7" s="102">
        <f>AJ7+AG7+AK7</f>
        <v>9537.89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61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0">SUM(L4:L7)</f>
        <v>25000</v>
      </c>
      <c r="M8" s="74">
        <f t="shared" si="0"/>
        <v>1024</v>
      </c>
      <c r="N8" s="74">
        <f t="shared" si="0"/>
        <v>336.44</v>
      </c>
      <c r="O8" s="74">
        <f t="shared" si="0"/>
        <v>64</v>
      </c>
      <c r="P8" s="74">
        <f t="shared" si="0"/>
        <v>424</v>
      </c>
      <c r="Q8" s="74">
        <f t="shared" si="0"/>
        <v>1848.44</v>
      </c>
      <c r="R8" s="74">
        <f t="shared" si="0"/>
        <v>0</v>
      </c>
      <c r="S8" s="74">
        <f t="shared" si="0"/>
        <v>100000</v>
      </c>
      <c r="T8" s="74">
        <f t="shared" si="0"/>
        <v>80000</v>
      </c>
      <c r="U8" s="74">
        <f t="shared" si="0"/>
        <v>7393.76</v>
      </c>
      <c r="V8" s="74">
        <f t="shared" si="0"/>
        <v>0</v>
      </c>
      <c r="W8" s="74">
        <f t="shared" si="0"/>
        <v>0</v>
      </c>
      <c r="X8" s="74">
        <f t="shared" si="0"/>
        <v>0</v>
      </c>
      <c r="Y8" s="74">
        <f t="shared" si="0"/>
        <v>0</v>
      </c>
      <c r="Z8" s="74">
        <f t="shared" si="0"/>
        <v>0</v>
      </c>
      <c r="AA8" s="74">
        <f t="shared" si="0"/>
        <v>0</v>
      </c>
      <c r="AB8" s="74">
        <f t="shared" si="0"/>
        <v>0</v>
      </c>
      <c r="AC8" s="74">
        <f t="shared" si="0"/>
        <v>0</v>
      </c>
      <c r="AD8" s="74">
        <f t="shared" si="0"/>
        <v>12606.24</v>
      </c>
      <c r="AE8" s="74">
        <f t="shared" si="0"/>
        <v>789.1</v>
      </c>
      <c r="AF8" s="74">
        <f t="shared" si="0"/>
        <v>591.82</v>
      </c>
      <c r="AG8" s="74">
        <f t="shared" si="0"/>
        <v>197.28</v>
      </c>
      <c r="AH8" s="74">
        <f t="shared" si="0"/>
        <v>22954.28</v>
      </c>
      <c r="AI8" s="105">
        <f t="shared" si="0"/>
        <v>0</v>
      </c>
      <c r="AJ8" s="74">
        <f t="shared" si="0"/>
        <v>22954.28</v>
      </c>
      <c r="AK8" s="74">
        <f t="shared" si="0"/>
        <v>0</v>
      </c>
      <c r="AL8" s="74">
        <f t="shared" si="0"/>
        <v>23151.56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3">
      <c r="B12" s="47" t="s">
        <v>29</v>
      </c>
      <c r="C12" s="47" t="s">
        <v>62</v>
      </c>
      <c r="D12" s="47" t="s">
        <v>30</v>
      </c>
      <c r="E12" s="47" t="s">
        <v>63</v>
      </c>
      <c r="AD12" s="10"/>
      <c r="AG12" s="113"/>
    </row>
    <row r="13" ht="18.75" customHeight="1" spans="2:5">
      <c r="B13" s="48">
        <f>AJ8</f>
        <v>22954.28</v>
      </c>
      <c r="C13" s="48">
        <f>AG8</f>
        <v>197.28</v>
      </c>
      <c r="D13" s="48">
        <f>AK8</f>
        <v>0</v>
      </c>
      <c r="E13" s="48">
        <f>B13+C13+D13</f>
        <v>23151.56</v>
      </c>
    </row>
    <row r="14" spans="2:5">
      <c r="B14" s="49"/>
      <c r="C14" s="49"/>
      <c r="D14" s="49"/>
      <c r="E14" s="49"/>
    </row>
    <row r="15" s="14" customFormat="1" spans="1:35">
      <c r="A15" s="50" t="s">
        <v>64</v>
      </c>
      <c r="B15" s="51" t="s">
        <v>65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66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67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69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70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71</v>
      </c>
    </row>
    <row r="23" spans="2:2">
      <c r="B23" s="59" t="s">
        <v>72</v>
      </c>
    </row>
    <row r="24" spans="2:2">
      <c r="B24" s="59" t="s">
        <v>73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0" priority="2" stopIfTrue="1"/>
  </conditionalFormatting>
  <conditionalFormatting sqref="B15:B19">
    <cfRule type="duplicateValues" dxfId="0" priority="3" stopIfTrue="1"/>
  </conditionalFormatting>
  <conditionalFormatting sqref="B23:B24">
    <cfRule type="duplicateValues" dxfId="0" priority="1" stopIfTrue="1"/>
  </conditionalFormatting>
  <conditionalFormatting sqref="C12:C14">
    <cfRule type="duplicateValues" dxfId="0" priority="4" stopIfTrue="1"/>
    <cfRule type="expression" dxfId="1" priority="5" stopIfTrue="1">
      <formula>AND(COUNTIF($B$8:$B$65444,C12)+COUNTIF($B$1:$B$3,C12)&gt;1,NOT(ISBLANK(C12)))</formula>
    </cfRule>
    <cfRule type="expression" dxfId="1" priority="6" stopIfTrue="1">
      <formula>AND(COUNTIF($B$19:$B$65395,C12)+COUNTIF($B$1:$B$18,C12)&gt;1,NOT(ISBLANK(C12)))</formula>
    </cfRule>
    <cfRule type="expression" dxfId="1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AT23"/>
  <sheetViews>
    <sheetView tabSelected="1" workbookViewId="0">
      <pane xSplit="6" ySplit="3" topLeftCell="G4" activePane="bottomRight" state="frozen"/>
      <selection/>
      <selection pane="topRight"/>
      <selection pane="bottomLeft"/>
      <selection pane="bottomRight" activeCell="L15" sqref="L15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37" t="s">
        <v>51</v>
      </c>
      <c r="D4" s="37" t="s">
        <v>52</v>
      </c>
      <c r="E4" s="37" t="s">
        <v>53</v>
      </c>
      <c r="F4" s="38" t="str">
        <f>IF(MOD(MID(E4,17,1),2)=1,"男","女")</f>
        <v>男</v>
      </c>
      <c r="G4" s="39"/>
      <c r="H4" s="40"/>
      <c r="I4" s="40"/>
      <c r="J4" s="69"/>
      <c r="K4" s="40"/>
      <c r="L4" s="70">
        <v>7500</v>
      </c>
      <c r="M4" s="71">
        <v>256</v>
      </c>
      <c r="N4" s="71">
        <v>84.11</v>
      </c>
      <c r="O4" s="71">
        <v>16</v>
      </c>
      <c r="P4" s="71">
        <v>106</v>
      </c>
      <c r="Q4" s="89">
        <f>ROUND(SUM(M4:P4),2)</f>
        <v>462.11</v>
      </c>
      <c r="R4" s="70">
        <v>0</v>
      </c>
      <c r="S4" s="90">
        <f>L4+IFERROR(VLOOKUP($E:$E,'（居民）工资表-4月'!$E:$S,15,0),0)</f>
        <v>37500</v>
      </c>
      <c r="T4" s="91">
        <f>5000+IFERROR(VLOOKUP($E:$E,'（居民）工资表-4月'!$E:$T,16,0),0)</f>
        <v>25000</v>
      </c>
      <c r="U4" s="91">
        <f>Q4+IFERROR(VLOOKUP($E:$E,'（居民）工资表-4月'!$E:$U,17,0),0)</f>
        <v>2310.55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R4+IFERROR(VLOOKUP($E:$E,'（居民）工资表-4月'!$E:$AC,25,0),0)</f>
        <v>0</v>
      </c>
      <c r="AD4" s="93">
        <f>ROUND(S4-T4-U4-AB4-AC4,2)</f>
        <v>10189.45</v>
      </c>
      <c r="AE4" s="94">
        <f>ROUND(MAX((AD4)*{0.03;0.1;0.2;0.25;0.3;0.35;0.45}-{0;2520;16920;31920;52920;85920;181920},0),2)</f>
        <v>305.68</v>
      </c>
      <c r="AF4" s="95">
        <f>IFERROR(VLOOKUP(E:E,'（居民）工资表-4月'!E:AF,28,0)+VLOOKUP(E:E,'（居民）工资表-4月'!E:AG,29,0),0)</f>
        <v>244.55</v>
      </c>
      <c r="AG4" s="95">
        <f>IF((AE4-AF4)&lt;0,0,AE4-AF4)</f>
        <v>61.13</v>
      </c>
      <c r="AH4" s="102">
        <f>ROUND(IF((L4-Q4-AG4)&lt;0,0,(L4-Q4-AG4)),2)</f>
        <v>6976.76</v>
      </c>
      <c r="AI4" s="103"/>
      <c r="AJ4" s="102">
        <f>AH4+AI4</f>
        <v>6976.76</v>
      </c>
      <c r="AK4" s="104"/>
      <c r="AL4" s="102">
        <f>AJ4+AG4+AK4</f>
        <v>7037.89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IF(SUMPRODUCT(N(E$1:E$6=E4))&gt;1,"重复","不")</f>
        <v>不</v>
      </c>
      <c r="AT4" s="111" t="str">
        <f>IF(SUMPRODUCT(N(AO$1:AO$6=AO4))&gt;1,"重复","不")</f>
        <v>重复</v>
      </c>
    </row>
    <row r="5" s="12" customFormat="1" ht="18" customHeight="1" spans="1:46">
      <c r="A5" s="36">
        <v>3</v>
      </c>
      <c r="B5" s="37" t="s">
        <v>50</v>
      </c>
      <c r="C5" s="37" t="s">
        <v>57</v>
      </c>
      <c r="D5" s="37" t="s">
        <v>52</v>
      </c>
      <c r="E5" s="37" t="s">
        <v>58</v>
      </c>
      <c r="F5" s="38" t="str">
        <f>IF(MOD(MID(E5,17,1),2)=1,"男","女")</f>
        <v>男</v>
      </c>
      <c r="G5" s="39"/>
      <c r="H5" s="40"/>
      <c r="I5" s="40"/>
      <c r="J5" s="69"/>
      <c r="K5" s="40"/>
      <c r="L5" s="70">
        <v>4500</v>
      </c>
      <c r="M5" s="71">
        <v>256</v>
      </c>
      <c r="N5" s="71">
        <v>84.11</v>
      </c>
      <c r="O5" s="71">
        <v>16</v>
      </c>
      <c r="P5" s="71">
        <v>106</v>
      </c>
      <c r="Q5" s="89">
        <f>ROUND(SUM(M5:P5),2)</f>
        <v>462.11</v>
      </c>
      <c r="R5" s="70">
        <v>0</v>
      </c>
      <c r="S5" s="90">
        <f>L5+IFERROR(VLOOKUP($E:$E,'（居民）工资表-4月'!$E:$S,15,0),0)</f>
        <v>20500</v>
      </c>
      <c r="T5" s="91">
        <f>5000+IFERROR(VLOOKUP($E:$E,'（居民）工资表-4月'!$E:$T,16,0),0)</f>
        <v>25000</v>
      </c>
      <c r="U5" s="91">
        <f>Q5+IFERROR(VLOOKUP($E:$E,'（居民）工资表-4月'!$E:$U,17,0),0)</f>
        <v>2310.55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R5+IFERROR(VLOOKUP($E:$E,'（居民）工资表-4月'!$E:$AC,25,0),0)</f>
        <v>0</v>
      </c>
      <c r="AD5" s="93">
        <f>ROUND(S5-T5-U5-AB5-AC5,2)</f>
        <v>-6810.55</v>
      </c>
      <c r="AE5" s="94">
        <f>ROUND(MAX((AD5)*{0.03;0.1;0.2;0.25;0.3;0.35;0.45}-{0;2520;16920;31920;52920;85920;181920},0),2)</f>
        <v>0</v>
      </c>
      <c r="AF5" s="95">
        <f>IFERROR(VLOOKUP(E:E,'（居民）工资表-4月'!E:AF,28,0)+VLOOKUP(E:E,'（居民）工资表-4月'!E:AG,29,0),0)</f>
        <v>0</v>
      </c>
      <c r="AG5" s="95">
        <f>IF((AE5-AF5)&lt;0,0,AE5-AF5)</f>
        <v>0</v>
      </c>
      <c r="AH5" s="102">
        <f>ROUND(IF((L5-Q5-AG5)&lt;0,0,(L5-Q5-AG5)),2)</f>
        <v>4037.89</v>
      </c>
      <c r="AI5" s="103"/>
      <c r="AJ5" s="102">
        <f>AH5+AI5</f>
        <v>4037.89</v>
      </c>
      <c r="AK5" s="104"/>
      <c r="AL5" s="102">
        <f>AJ5+AG5+AK5</f>
        <v>4037.89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IF(SUMPRODUCT(N(E$1:E$6=E5))&gt;1,"重复","不")</f>
        <v>不</v>
      </c>
      <c r="AT5" s="111" t="str">
        <f>IF(SUMPRODUCT(N(AO$1:AO$6=AO5))&gt;1,"重复","不")</f>
        <v>重复</v>
      </c>
    </row>
    <row r="6" s="12" customFormat="1" ht="18" customHeight="1" spans="1:46">
      <c r="A6" s="36">
        <v>4</v>
      </c>
      <c r="B6" s="37" t="s">
        <v>50</v>
      </c>
      <c r="C6" s="37" t="s">
        <v>59</v>
      </c>
      <c r="D6" s="37" t="s">
        <v>52</v>
      </c>
      <c r="E6" s="37" t="s">
        <v>60</v>
      </c>
      <c r="F6" s="38" t="str">
        <f>IF(MOD(MID(E6,17,1),2)=1,"男","女")</f>
        <v>男</v>
      </c>
      <c r="G6" s="39"/>
      <c r="H6" s="40"/>
      <c r="I6" s="40"/>
      <c r="J6" s="69"/>
      <c r="K6" s="40"/>
      <c r="L6" s="70">
        <v>10000</v>
      </c>
      <c r="M6" s="71">
        <v>256</v>
      </c>
      <c r="N6" s="71">
        <v>84.11</v>
      </c>
      <c r="O6" s="71">
        <v>16</v>
      </c>
      <c r="P6" s="71">
        <v>106</v>
      </c>
      <c r="Q6" s="89">
        <f>ROUND(SUM(M6:P6),2)</f>
        <v>462.11</v>
      </c>
      <c r="R6" s="70">
        <v>0</v>
      </c>
      <c r="S6" s="90">
        <f>L6+IFERROR(VLOOKUP($E:$E,'（居民）工资表-4月'!$E:$S,15,0),0)</f>
        <v>50000</v>
      </c>
      <c r="T6" s="91">
        <f>5000+IFERROR(VLOOKUP($E:$E,'（居民）工资表-4月'!$E:$T,16,0),0)</f>
        <v>25000</v>
      </c>
      <c r="U6" s="91">
        <f>Q6+IFERROR(VLOOKUP($E:$E,'（居民）工资表-4月'!$E:$U,17,0),0)</f>
        <v>2310.55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R6+IFERROR(VLOOKUP($E:$E,'（居民）工资表-4月'!$E:$AC,25,0),0)</f>
        <v>0</v>
      </c>
      <c r="AD6" s="93">
        <f>ROUND(S6-T6-U6-AB6-AC6,2)</f>
        <v>22689.45</v>
      </c>
      <c r="AE6" s="94">
        <f>ROUND(MAX((AD6)*{0.03;0.1;0.2;0.25;0.3;0.35;0.45}-{0;2520;16920;31920;52920;85920;181920},0),2)</f>
        <v>680.68</v>
      </c>
      <c r="AF6" s="95">
        <f>IFERROR(VLOOKUP(E:E,'（居民）工资表-4月'!E:AF,28,0)+VLOOKUP(E:E,'（居民）工资表-4月'!E:AG,29,0),0)</f>
        <v>544.55</v>
      </c>
      <c r="AG6" s="95">
        <f>IF((AE6-AF6)&lt;0,0,AE6-AF6)</f>
        <v>136.13</v>
      </c>
      <c r="AH6" s="102">
        <f>ROUND(IF((L6-Q6-AG6)&lt;0,0,(L6-Q6-AG6)),2)</f>
        <v>9401.76</v>
      </c>
      <c r="AI6" s="103"/>
      <c r="AJ6" s="102">
        <f>AH6+AI6</f>
        <v>9401.76</v>
      </c>
      <c r="AK6" s="104"/>
      <c r="AL6" s="102">
        <f>AJ6+AG6+AK6</f>
        <v>9537.89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IF(SUMPRODUCT(N(E$1:E$6=E6))&gt;1,"重复","不")</f>
        <v>不</v>
      </c>
      <c r="AT6" s="111" t="str">
        <f>IF(SUMPRODUCT(N(AO$1:AO$6=AO6))&gt;1,"重复","不")</f>
        <v>重复</v>
      </c>
    </row>
    <row r="7" s="13" customFormat="1" ht="18" customHeight="1" spans="1:46">
      <c r="A7" s="41"/>
      <c r="B7" s="42" t="s">
        <v>61</v>
      </c>
      <c r="C7" s="42"/>
      <c r="D7" s="43"/>
      <c r="E7" s="44"/>
      <c r="F7" s="45"/>
      <c r="G7" s="46"/>
      <c r="H7" s="45"/>
      <c r="I7" s="72"/>
      <c r="J7" s="73"/>
      <c r="K7" s="72"/>
      <c r="L7" s="74">
        <f t="shared" ref="L7:AL7" si="0">SUM(L4:L6)</f>
        <v>22000</v>
      </c>
      <c r="M7" s="74">
        <f t="shared" si="0"/>
        <v>768</v>
      </c>
      <c r="N7" s="74">
        <f t="shared" si="0"/>
        <v>252.33</v>
      </c>
      <c r="O7" s="74">
        <f t="shared" si="0"/>
        <v>48</v>
      </c>
      <c r="P7" s="74">
        <f t="shared" si="0"/>
        <v>318</v>
      </c>
      <c r="Q7" s="74">
        <f t="shared" si="0"/>
        <v>1386.33</v>
      </c>
      <c r="R7" s="74">
        <f t="shared" si="0"/>
        <v>0</v>
      </c>
      <c r="S7" s="74">
        <f t="shared" si="0"/>
        <v>108000</v>
      </c>
      <c r="T7" s="74">
        <f t="shared" si="0"/>
        <v>75000</v>
      </c>
      <c r="U7" s="74">
        <f t="shared" si="0"/>
        <v>6931.65</v>
      </c>
      <c r="V7" s="74">
        <f t="shared" si="0"/>
        <v>0</v>
      </c>
      <c r="W7" s="74">
        <f t="shared" si="0"/>
        <v>0</v>
      </c>
      <c r="X7" s="74">
        <f t="shared" si="0"/>
        <v>0</v>
      </c>
      <c r="Y7" s="74">
        <f t="shared" si="0"/>
        <v>0</v>
      </c>
      <c r="Z7" s="74">
        <f t="shared" si="0"/>
        <v>0</v>
      </c>
      <c r="AA7" s="74">
        <f t="shared" si="0"/>
        <v>0</v>
      </c>
      <c r="AB7" s="74">
        <f t="shared" si="0"/>
        <v>0</v>
      </c>
      <c r="AC7" s="74">
        <f t="shared" si="0"/>
        <v>0</v>
      </c>
      <c r="AD7" s="74">
        <f t="shared" si="0"/>
        <v>26068.35</v>
      </c>
      <c r="AE7" s="74">
        <f t="shared" si="0"/>
        <v>986.36</v>
      </c>
      <c r="AF7" s="74">
        <f t="shared" si="0"/>
        <v>789.1</v>
      </c>
      <c r="AG7" s="74">
        <f t="shared" si="0"/>
        <v>197.26</v>
      </c>
      <c r="AH7" s="74">
        <f t="shared" si="0"/>
        <v>20416.41</v>
      </c>
      <c r="AI7" s="105">
        <f t="shared" si="0"/>
        <v>0</v>
      </c>
      <c r="AJ7" s="74">
        <f t="shared" si="0"/>
        <v>20416.41</v>
      </c>
      <c r="AK7" s="74">
        <f t="shared" si="0"/>
        <v>0</v>
      </c>
      <c r="AL7" s="74">
        <f t="shared" si="0"/>
        <v>20613.67</v>
      </c>
      <c r="AM7" s="106"/>
      <c r="AN7" s="106"/>
      <c r="AO7" s="106"/>
      <c r="AP7" s="106"/>
      <c r="AQ7" s="106"/>
      <c r="AR7" s="45"/>
      <c r="AS7" s="45"/>
      <c r="AT7" s="112"/>
    </row>
    <row r="10" spans="30:30">
      <c r="AD10" s="96"/>
    </row>
    <row r="11" ht="18.75" customHeight="1" spans="2:33">
      <c r="B11" s="47" t="s">
        <v>29</v>
      </c>
      <c r="C11" s="47" t="s">
        <v>62</v>
      </c>
      <c r="D11" s="47" t="s">
        <v>30</v>
      </c>
      <c r="E11" s="47" t="s">
        <v>63</v>
      </c>
      <c r="AD11" s="10"/>
      <c r="AG11" s="19"/>
    </row>
    <row r="12" ht="18.75" customHeight="1" spans="2:5">
      <c r="B12" s="48">
        <f>AJ7</f>
        <v>20416.41</v>
      </c>
      <c r="C12" s="48">
        <f>AG7</f>
        <v>197.26</v>
      </c>
      <c r="D12" s="48">
        <f>AK7</f>
        <v>0</v>
      </c>
      <c r="E12" s="48">
        <f>B12+C12+D12</f>
        <v>20613.67</v>
      </c>
    </row>
    <row r="13" spans="2:5">
      <c r="B13" s="49"/>
      <c r="C13" s="49"/>
      <c r="D13" s="49"/>
      <c r="E13" s="49"/>
    </row>
    <row r="14" s="14" customFormat="1" spans="1:35">
      <c r="A14" s="50" t="s">
        <v>64</v>
      </c>
      <c r="B14" s="51" t="s">
        <v>65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4"/>
      <c r="B15" s="55" t="s">
        <v>66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1"/>
      <c r="B16" s="55" t="s">
        <v>67</v>
      </c>
      <c r="C16" s="56"/>
      <c r="D16" s="56"/>
      <c r="E16" s="56"/>
      <c r="F16" s="56"/>
      <c r="G16" s="56"/>
      <c r="H16" s="56"/>
      <c r="I16" s="56"/>
      <c r="J16" s="77"/>
      <c r="K16" s="56"/>
      <c r="L16" s="56"/>
      <c r="M16" s="78"/>
      <c r="N16" s="56"/>
      <c r="O16" s="56"/>
      <c r="P16" s="56"/>
      <c r="AI16" s="107"/>
    </row>
    <row r="17" s="14" customFormat="1" customHeight="1" spans="1:35">
      <c r="A17" s="55"/>
      <c r="B17" s="55" t="s">
        <v>68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69</v>
      </c>
      <c r="C18" s="57"/>
      <c r="D18" s="57"/>
      <c r="E18" s="57"/>
      <c r="F18" s="57"/>
      <c r="G18" s="57"/>
      <c r="H18" s="57"/>
      <c r="I18" s="57"/>
      <c r="J18" s="82"/>
      <c r="K18" s="57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70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1" ht="11.25" customHeight="1" spans="2:2">
      <c r="B21" s="58" t="s">
        <v>71</v>
      </c>
    </row>
    <row r="22" spans="2:2">
      <c r="B22" s="59" t="s">
        <v>72</v>
      </c>
    </row>
    <row r="23" spans="2:2">
      <c r="B23" s="59" t="s">
        <v>73</v>
      </c>
    </row>
  </sheetData>
  <autoFilter ref="A3:AT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9">
    <cfRule type="duplicateValues" dxfId="0" priority="2" stopIfTrue="1"/>
  </conditionalFormatting>
  <conditionalFormatting sqref="B14:B18">
    <cfRule type="duplicateValues" dxfId="0" priority="3" stopIfTrue="1"/>
  </conditionalFormatting>
  <conditionalFormatting sqref="B22:B23">
    <cfRule type="duplicateValues" dxfId="0" priority="1" stopIfTrue="1"/>
  </conditionalFormatting>
  <conditionalFormatting sqref="C11:C13">
    <cfRule type="duplicateValues" dxfId="0" priority="4" stopIfTrue="1"/>
    <cfRule type="expression" dxfId="1" priority="5" stopIfTrue="1">
      <formula>AND(COUNTIF($B$7:$B$65443,C11)+COUNTIF($B$1:$B$3,C11)&gt;1,NOT(ISBLANK(C11)))</formula>
    </cfRule>
    <cfRule type="expression" dxfId="1" priority="6" stopIfTrue="1">
      <formula>AND(COUNTIF($B$18:$B$65394,C11)+COUNTIF($B$1:$B$17,C11)&gt;1,NOT(ISBLANK(C11)))</formula>
    </cfRule>
    <cfRule type="expression" dxfId="1" priority="7" stopIfTrue="1">
      <formula>AND(COUNTIF($B$7:$B$65432,C11)+COUNTIF($B$1:$B$3,C11)&gt;1,NOT(ISBLANK(C11)))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74</v>
      </c>
      <c r="C4" s="37"/>
      <c r="D4" s="37" t="s">
        <v>52</v>
      </c>
      <c r="E4" s="37" t="s">
        <v>75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L4+IFERROR(VLOOKUP($E:$E,'（居民）工资表-5月'!$E:$S,15,0),0)</f>
        <v>3000</v>
      </c>
      <c r="T4" s="91">
        <f>5000+IFERROR(VLOOKUP($E:$E,'（居民）工资表-5月'!$E:$T,16,0),0)</f>
        <v>5000</v>
      </c>
      <c r="U4" s="91">
        <f>Q4+IFERROR(VLOOKUP($E:$E,'（居民）工资表-5月'!$E:$U,17,0),0)</f>
        <v>525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3">
        <f>ROUND(S4-T4-U4-AB4-AC4,2)</f>
        <v>-2525</v>
      </c>
      <c r="AE4" s="94">
        <f>ROUND(MAX((AD4)*{0.03;0.1;0.2;0.25;0.3;0.35;0.45}-{0;2520;16920;31920;52920;85920;181920},0),2)</f>
        <v>0</v>
      </c>
      <c r="AF4" s="95">
        <f>IFERROR(VLOOKUP(E:E,'（居民）工资表-5月'!E:AF,28,0)+VLOOKUP(E:E,'（居民）工资表-5月'!E:AG,29,0),0)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74</v>
      </c>
      <c r="C5" s="37"/>
      <c r="D5" s="37" t="s">
        <v>52</v>
      </c>
      <c r="E5" s="37" t="s">
        <v>76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L5+IFERROR(VLOOKUP($E:$E,'（居民）工资表-5月'!$E:$S,15,0),0)</f>
        <v>4000</v>
      </c>
      <c r="T5" s="91">
        <f>5000+IFERROR(VLOOKUP($E:$E,'（居民）工资表-5月'!$E:$T,16,0),0)</f>
        <v>5000</v>
      </c>
      <c r="U5" s="91">
        <f>Q5+IFERROR(VLOOKUP($E:$E,'（居民）工资表-5月'!$E:$U,17,0),0)</f>
        <v>700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R5+IFERROR(VLOOKUP($E:$E,'（居民）工资表-5月'!$E:$AC,25,0),0)</f>
        <v>0</v>
      </c>
      <c r="AD5" s="93">
        <f t="shared" ref="AD5:AD23" si="6">ROUND(S5-T5-U5-AB5-AC5,2)</f>
        <v>-1700</v>
      </c>
      <c r="AE5" s="94">
        <f>ROUND(MAX((AD5)*{0.03;0.1;0.2;0.25;0.3;0.35;0.45}-{0;2520;16920;31920;52920;85920;181920},0),2)</f>
        <v>0</v>
      </c>
      <c r="AF5" s="95">
        <f>IFERROR(VLOOKUP(E:E,'（居民）工资表-5月'!E:AF,28,0)+VLOOKUP(E:E,'（居民）工资表-5月'!E:AG,29,0),0)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74</v>
      </c>
      <c r="C6" s="37"/>
      <c r="D6" s="37" t="s">
        <v>52</v>
      </c>
      <c r="E6" s="37" t="s">
        <v>77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L6+IFERROR(VLOOKUP($E:$E,'（居民）工资表-5月'!$E:$S,15,0),0)</f>
        <v>5000</v>
      </c>
      <c r="T6" s="91">
        <f>5000+IFERROR(VLOOKUP($E:$E,'（居民）工资表-5月'!$E:$T,16,0),0)</f>
        <v>5000</v>
      </c>
      <c r="U6" s="91">
        <f>Q6+IFERROR(VLOOKUP($E:$E,'（居民）工资表-5月'!$E:$U,17,0),0)</f>
        <v>875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R6+IFERROR(VLOOKUP($E:$E,'（居民）工资表-5月'!$E:$AC,25,0),0)</f>
        <v>0</v>
      </c>
      <c r="AD6" s="93">
        <f t="shared" si="6"/>
        <v>-875</v>
      </c>
      <c r="AE6" s="94">
        <f>ROUND(MAX((AD6)*{0.03;0.1;0.2;0.25;0.3;0.35;0.45}-{0;2520;16920;31920;52920;85920;181920},0),2)</f>
        <v>0</v>
      </c>
      <c r="AF6" s="95">
        <f>IFERROR(VLOOKUP(E:E,'（居民）工资表-5月'!E:AF,28,0)+VLOOKUP(E:E,'（居民）工资表-5月'!E:AG,29,0),0)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74</v>
      </c>
      <c r="C7" s="37"/>
      <c r="D7" s="37" t="s">
        <v>52</v>
      </c>
      <c r="E7" s="37" t="s">
        <v>78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L7+IFERROR(VLOOKUP($E:$E,'（居民）工资表-5月'!$E:$S,15,0),0)</f>
        <v>6000</v>
      </c>
      <c r="T7" s="91">
        <f>5000+IFERROR(VLOOKUP($E:$E,'（居民）工资表-5月'!$E:$T,16,0),0)</f>
        <v>5000</v>
      </c>
      <c r="U7" s="91">
        <f>Q7+IFERROR(VLOOKUP($E:$E,'（居民）工资表-5月'!$E:$U,17,0),0)</f>
        <v>1050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R7+IFERROR(VLOOKUP($E:$E,'（居民）工资表-5月'!$E:$AC,25,0),0)</f>
        <v>0</v>
      </c>
      <c r="AD7" s="93">
        <f t="shared" si="6"/>
        <v>-50</v>
      </c>
      <c r="AE7" s="94">
        <f>ROUND(MAX((AD7)*{0.03;0.1;0.2;0.25;0.3;0.35;0.45}-{0;2520;16920;31920;52920;85920;181920},0),2)</f>
        <v>0</v>
      </c>
      <c r="AF7" s="95">
        <f>IFERROR(VLOOKUP(E:E,'（居民）工资表-5月'!E:AF,28,0)+VLOOKUP(E:E,'（居民）工资表-5月'!E:AG,29,0),0)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74</v>
      </c>
      <c r="C8" s="37"/>
      <c r="D8" s="37" t="s">
        <v>52</v>
      </c>
      <c r="E8" s="37" t="s">
        <v>79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L8+IFERROR(VLOOKUP($E:$E,'（居民）工资表-5月'!$E:$S,15,0),0)</f>
        <v>7000</v>
      </c>
      <c r="T8" s="91">
        <f>5000+IFERROR(VLOOKUP($E:$E,'（居民）工资表-5月'!$E:$T,16,0),0)</f>
        <v>5000</v>
      </c>
      <c r="U8" s="91">
        <f>Q8+IFERROR(VLOOKUP($E:$E,'（居民）工资表-5月'!$E:$U,17,0),0)</f>
        <v>1225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R8+IFERROR(VLOOKUP($E:$E,'（居民）工资表-5月'!$E:$AC,25,0),0)</f>
        <v>0</v>
      </c>
      <c r="AD8" s="93">
        <f t="shared" si="6"/>
        <v>775</v>
      </c>
      <c r="AE8" s="94">
        <f>ROUND(MAX((AD8)*{0.03;0.1;0.2;0.25;0.3;0.35;0.45}-{0;2520;16920;31920;52920;85920;181920},0),2)</f>
        <v>23.25</v>
      </c>
      <c r="AF8" s="95">
        <f>IFERROR(VLOOKUP(E:E,'（居民）工资表-5月'!E:AF,28,0)+VLOOKUP(E:E,'（居民）工资表-5月'!E:AG,29,0),0)</f>
        <v>0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74</v>
      </c>
      <c r="C9" s="37"/>
      <c r="D9" s="37" t="s">
        <v>52</v>
      </c>
      <c r="E9" s="37" t="s">
        <v>80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L9+IFERROR(VLOOKUP($E:$E,'（居民）工资表-5月'!$E:$S,15,0),0)</f>
        <v>8000</v>
      </c>
      <c r="T9" s="91">
        <f>5000+IFERROR(VLOOKUP($E:$E,'（居民）工资表-5月'!$E:$T,16,0),0)</f>
        <v>5000</v>
      </c>
      <c r="U9" s="91">
        <f>Q9+IFERROR(VLOOKUP($E:$E,'（居民）工资表-5月'!$E:$U,17,0),0)</f>
        <v>1400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R9+IFERROR(VLOOKUP($E:$E,'（居民）工资表-5月'!$E:$AC,25,0),0)</f>
        <v>0</v>
      </c>
      <c r="AD9" s="93">
        <f t="shared" si="6"/>
        <v>1600</v>
      </c>
      <c r="AE9" s="94">
        <f>ROUND(MAX((AD9)*{0.03;0.1;0.2;0.25;0.3;0.35;0.45}-{0;2520;16920;31920;52920;85920;181920},0),2)</f>
        <v>48</v>
      </c>
      <c r="AF9" s="95">
        <f>IFERROR(VLOOKUP(E:E,'（居民）工资表-5月'!E:AF,28,0)+VLOOKUP(E:E,'（居民）工资表-5月'!E:AG,29,0),0)</f>
        <v>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74</v>
      </c>
      <c r="C10" s="37"/>
      <c r="D10" s="37" t="s">
        <v>52</v>
      </c>
      <c r="E10" s="37" t="s">
        <v>81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L10+IFERROR(VLOOKUP($E:$E,'（居民）工资表-5月'!$E:$S,15,0),0)</f>
        <v>9000</v>
      </c>
      <c r="T10" s="91">
        <f>5000+IFERROR(VLOOKUP($E:$E,'（居民）工资表-5月'!$E:$T,16,0),0)</f>
        <v>5000</v>
      </c>
      <c r="U10" s="91">
        <f>Q10+IFERROR(VLOOKUP($E:$E,'（居民）工资表-5月'!$E:$U,17,0),0)</f>
        <v>1575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R10+IFERROR(VLOOKUP($E:$E,'（居民）工资表-5月'!$E:$AC,25,0),0)</f>
        <v>0</v>
      </c>
      <c r="AD10" s="93">
        <f t="shared" si="6"/>
        <v>2425</v>
      </c>
      <c r="AE10" s="94">
        <f>ROUND(MAX((AD10)*{0.03;0.1;0.2;0.25;0.3;0.35;0.45}-{0;2520;16920;31920;52920;85920;181920},0),2)</f>
        <v>72.75</v>
      </c>
      <c r="AF10" s="95">
        <f>IFERROR(VLOOKUP(E:E,'（居民）工资表-5月'!E:AF,28,0)+VLOOKUP(E:E,'（居民）工资表-5月'!E:AG,29,0),0)</f>
        <v>0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74</v>
      </c>
      <c r="C11" s="37"/>
      <c r="D11" s="37" t="s">
        <v>52</v>
      </c>
      <c r="E11" s="37" t="s">
        <v>82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L11+IFERROR(VLOOKUP($E:$E,'（居民）工资表-5月'!$E:$S,15,0),0)</f>
        <v>10000</v>
      </c>
      <c r="T11" s="91">
        <f>5000+IFERROR(VLOOKUP($E:$E,'（居民）工资表-5月'!$E:$T,16,0),0)</f>
        <v>5000</v>
      </c>
      <c r="U11" s="91">
        <f>Q11+IFERROR(VLOOKUP($E:$E,'（居民）工资表-5月'!$E:$U,17,0),0)</f>
        <v>1750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R11+IFERROR(VLOOKUP($E:$E,'（居民）工资表-5月'!$E:$AC,25,0),0)</f>
        <v>0</v>
      </c>
      <c r="AD11" s="93">
        <f t="shared" si="6"/>
        <v>3250</v>
      </c>
      <c r="AE11" s="94">
        <f>ROUND(MAX((AD11)*{0.03;0.1;0.2;0.25;0.3;0.35;0.45}-{0;2520;16920;31920;52920;85920;181920},0),2)</f>
        <v>97.5</v>
      </c>
      <c r="AF11" s="95">
        <f>IFERROR(VLOOKUP(E:E,'（居民）工资表-5月'!E:AF,28,0)+VLOOKUP(E:E,'（居民）工资表-5月'!E:AG,29,0),0)</f>
        <v>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74</v>
      </c>
      <c r="C12" s="37"/>
      <c r="D12" s="37" t="s">
        <v>52</v>
      </c>
      <c r="E12" s="37" t="s">
        <v>83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L12+IFERROR(VLOOKUP($E:$E,'（居民）工资表-5月'!$E:$S,15,0),0)</f>
        <v>11000</v>
      </c>
      <c r="T12" s="91">
        <f>5000+IFERROR(VLOOKUP($E:$E,'（居民）工资表-5月'!$E:$T,16,0),0)</f>
        <v>5000</v>
      </c>
      <c r="U12" s="91">
        <f>Q12+IFERROR(VLOOKUP($E:$E,'（居民）工资表-5月'!$E:$U,17,0),0)</f>
        <v>1925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R12+IFERROR(VLOOKUP($E:$E,'（居民）工资表-5月'!$E:$AC,25,0),0)</f>
        <v>0</v>
      </c>
      <c r="AD12" s="93">
        <f t="shared" si="6"/>
        <v>4075</v>
      </c>
      <c r="AE12" s="94">
        <f>ROUND(MAX((AD12)*{0.03;0.1;0.2;0.25;0.3;0.35;0.45}-{0;2520;16920;31920;52920;85920;181920},0),2)</f>
        <v>122.25</v>
      </c>
      <c r="AF12" s="95">
        <f>IFERROR(VLOOKUP(E:E,'（居民）工资表-5月'!E:AF,28,0)+VLOOKUP(E:E,'（居民）工资表-5月'!E:AG,29,0),0)</f>
        <v>0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74</v>
      </c>
      <c r="C13" s="37"/>
      <c r="D13" s="37" t="s">
        <v>52</v>
      </c>
      <c r="E13" s="37" t="s">
        <v>84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L13+IFERROR(VLOOKUP($E:$E,'（居民）工资表-5月'!$E:$S,15,0),0)</f>
        <v>12000</v>
      </c>
      <c r="T13" s="91">
        <f>5000+IFERROR(VLOOKUP($E:$E,'（居民）工资表-5月'!$E:$T,16,0),0)</f>
        <v>5000</v>
      </c>
      <c r="U13" s="91">
        <f>Q13+IFERROR(VLOOKUP($E:$E,'（居民）工资表-5月'!$E:$U,17,0),0)</f>
        <v>2100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R13+IFERROR(VLOOKUP($E:$E,'（居民）工资表-5月'!$E:$AC,25,0),0)</f>
        <v>0</v>
      </c>
      <c r="AD13" s="93">
        <f t="shared" si="6"/>
        <v>4900</v>
      </c>
      <c r="AE13" s="94">
        <f>ROUND(MAX((AD13)*{0.03;0.1;0.2;0.25;0.3;0.35;0.45}-{0;2520;16920;31920;52920;85920;181920},0),2)</f>
        <v>147</v>
      </c>
      <c r="AF13" s="95">
        <f>IFERROR(VLOOKUP(E:E,'（居民）工资表-5月'!E:AF,28,0)+VLOOKUP(E:E,'（居民）工资表-5月'!E:AG,29,0),0)</f>
        <v>0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74</v>
      </c>
      <c r="C14" s="37"/>
      <c r="D14" s="37" t="s">
        <v>52</v>
      </c>
      <c r="E14" s="37" t="s">
        <v>85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L14+IFERROR(VLOOKUP($E:$E,'（居民）工资表-5月'!$E:$S,15,0),0)</f>
        <v>13000</v>
      </c>
      <c r="T14" s="91">
        <f>5000+IFERROR(VLOOKUP($E:$E,'（居民）工资表-5月'!$E:$T,16,0),0)</f>
        <v>5000</v>
      </c>
      <c r="U14" s="91">
        <f>Q14+IFERROR(VLOOKUP($E:$E,'（居民）工资表-5月'!$E:$U,17,0),0)</f>
        <v>2275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R14+IFERROR(VLOOKUP($E:$E,'（居民）工资表-5月'!$E:$AC,25,0),0)</f>
        <v>0</v>
      </c>
      <c r="AD14" s="93">
        <f t="shared" si="6"/>
        <v>5725</v>
      </c>
      <c r="AE14" s="94">
        <f>ROUND(MAX((AD14)*{0.03;0.1;0.2;0.25;0.3;0.35;0.45}-{0;2520;16920;31920;52920;85920;181920},0),2)</f>
        <v>171.75</v>
      </c>
      <c r="AF14" s="95">
        <f>IFERROR(VLOOKUP(E:E,'（居民）工资表-5月'!E:AF,28,0)+VLOOKUP(E:E,'（居民）工资表-5月'!E:AG,29,0),0)</f>
        <v>0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74</v>
      </c>
      <c r="C15" s="37"/>
      <c r="D15" s="37" t="s">
        <v>52</v>
      </c>
      <c r="E15" s="37" t="s">
        <v>86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L15+IFERROR(VLOOKUP($E:$E,'（居民）工资表-5月'!$E:$S,15,0),0)</f>
        <v>14000</v>
      </c>
      <c r="T15" s="91">
        <f>5000+IFERROR(VLOOKUP($E:$E,'（居民）工资表-5月'!$E:$T,16,0),0)</f>
        <v>5000</v>
      </c>
      <c r="U15" s="91">
        <f>Q15+IFERROR(VLOOKUP($E:$E,'（居民）工资表-5月'!$E:$U,17,0),0)</f>
        <v>2450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R15+IFERROR(VLOOKUP($E:$E,'（居民）工资表-5月'!$E:$AC,25,0),0)</f>
        <v>0</v>
      </c>
      <c r="AD15" s="93">
        <f t="shared" si="6"/>
        <v>6550</v>
      </c>
      <c r="AE15" s="94">
        <f>ROUND(MAX((AD15)*{0.03;0.1;0.2;0.25;0.3;0.35;0.45}-{0;2520;16920;31920;52920;85920;181920},0),2)</f>
        <v>196.5</v>
      </c>
      <c r="AF15" s="95">
        <f>IFERROR(VLOOKUP(E:E,'（居民）工资表-5月'!E:AF,28,0)+VLOOKUP(E:E,'（居民）工资表-5月'!E:AG,29,0),0)</f>
        <v>0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74</v>
      </c>
      <c r="C16" s="37"/>
      <c r="D16" s="37" t="s">
        <v>52</v>
      </c>
      <c r="E16" s="37" t="s">
        <v>87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L16+IFERROR(VLOOKUP($E:$E,'（居民）工资表-5月'!$E:$S,15,0),0)</f>
        <v>15000</v>
      </c>
      <c r="T16" s="91">
        <f>5000+IFERROR(VLOOKUP($E:$E,'（居民）工资表-5月'!$E:$T,16,0),0)</f>
        <v>5000</v>
      </c>
      <c r="U16" s="91">
        <f>Q16+IFERROR(VLOOKUP($E:$E,'（居民）工资表-5月'!$E:$U,17,0),0)</f>
        <v>2625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R16+IFERROR(VLOOKUP($E:$E,'（居民）工资表-5月'!$E:$AC,25,0),0)</f>
        <v>0</v>
      </c>
      <c r="AD16" s="93">
        <f t="shared" si="6"/>
        <v>7375</v>
      </c>
      <c r="AE16" s="94">
        <f>ROUND(MAX((AD16)*{0.03;0.1;0.2;0.25;0.3;0.35;0.45}-{0;2520;16920;31920;52920;85920;181920},0),2)</f>
        <v>221.25</v>
      </c>
      <c r="AF16" s="95">
        <f>IFERROR(VLOOKUP(E:E,'（居民）工资表-5月'!E:AF,28,0)+VLOOKUP(E:E,'（居民）工资表-5月'!E:AG,29,0),0)</f>
        <v>0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74</v>
      </c>
      <c r="C17" s="37"/>
      <c r="D17" s="37" t="s">
        <v>52</v>
      </c>
      <c r="E17" s="37" t="s">
        <v>88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L17+IFERROR(VLOOKUP($E:$E,'（居民）工资表-5月'!$E:$S,15,0),0)</f>
        <v>16000</v>
      </c>
      <c r="T17" s="91">
        <f>5000+IFERROR(VLOOKUP($E:$E,'（居民）工资表-5月'!$E:$T,16,0),0)</f>
        <v>5000</v>
      </c>
      <c r="U17" s="91">
        <f>Q17+IFERROR(VLOOKUP($E:$E,'（居民）工资表-5月'!$E:$U,17,0),0)</f>
        <v>2800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R17+IFERROR(VLOOKUP($E:$E,'（居民）工资表-5月'!$E:$AC,25,0),0)</f>
        <v>0</v>
      </c>
      <c r="AD17" s="93">
        <f t="shared" si="6"/>
        <v>8200</v>
      </c>
      <c r="AE17" s="94">
        <f>ROUND(MAX((AD17)*{0.03;0.1;0.2;0.25;0.3;0.35;0.45}-{0;2520;16920;31920;52920;85920;181920},0),2)</f>
        <v>246</v>
      </c>
      <c r="AF17" s="95">
        <f>IFERROR(VLOOKUP(E:E,'（居民）工资表-5月'!E:AF,28,0)+VLOOKUP(E:E,'（居民）工资表-5月'!E:AG,29,0),0)</f>
        <v>0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74</v>
      </c>
      <c r="C18" s="37"/>
      <c r="D18" s="37" t="s">
        <v>52</v>
      </c>
      <c r="E18" s="37" t="s">
        <v>89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L18+IFERROR(VLOOKUP($E:$E,'（居民）工资表-5月'!$E:$S,15,0),0)</f>
        <v>17000</v>
      </c>
      <c r="T18" s="91">
        <f>5000+IFERROR(VLOOKUP($E:$E,'（居民）工资表-5月'!$E:$T,16,0),0)</f>
        <v>5000</v>
      </c>
      <c r="U18" s="91">
        <f>Q18+IFERROR(VLOOKUP($E:$E,'（居民）工资表-5月'!$E:$U,17,0),0)</f>
        <v>2975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R18+IFERROR(VLOOKUP($E:$E,'（居民）工资表-5月'!$E:$AC,25,0),0)</f>
        <v>0</v>
      </c>
      <c r="AD18" s="93">
        <f t="shared" si="6"/>
        <v>9025</v>
      </c>
      <c r="AE18" s="94">
        <f>ROUND(MAX((AD18)*{0.03;0.1;0.2;0.25;0.3;0.35;0.45}-{0;2520;16920;31920;52920;85920;181920},0),2)</f>
        <v>270.75</v>
      </c>
      <c r="AF18" s="95">
        <f>IFERROR(VLOOKUP(E:E,'（居民）工资表-5月'!E:AF,28,0)+VLOOKUP(E:E,'（居民）工资表-5月'!E:AG,29,0),0)</f>
        <v>0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74</v>
      </c>
      <c r="C19" s="37"/>
      <c r="D19" s="37" t="s">
        <v>52</v>
      </c>
      <c r="E19" s="37" t="s">
        <v>90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L19+IFERROR(VLOOKUP($E:$E,'（居民）工资表-5月'!$E:$S,15,0),0)</f>
        <v>18000</v>
      </c>
      <c r="T19" s="91">
        <f>5000+IFERROR(VLOOKUP($E:$E,'（居民）工资表-5月'!$E:$T,16,0),0)</f>
        <v>5000</v>
      </c>
      <c r="U19" s="91">
        <f>Q19+IFERROR(VLOOKUP($E:$E,'（居民）工资表-5月'!$E:$U,17,0),0)</f>
        <v>3150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R19+IFERROR(VLOOKUP($E:$E,'（居民）工资表-5月'!$E:$AC,25,0),0)</f>
        <v>0</v>
      </c>
      <c r="AD19" s="93">
        <f t="shared" si="6"/>
        <v>9850</v>
      </c>
      <c r="AE19" s="94">
        <f>ROUND(MAX((AD19)*{0.03;0.1;0.2;0.25;0.3;0.35;0.45}-{0;2520;16920;31920;52920;85920;181920},0),2)</f>
        <v>295.5</v>
      </c>
      <c r="AF19" s="95">
        <f>IFERROR(VLOOKUP(E:E,'（居民）工资表-5月'!E:AF,28,0)+VLOOKUP(E:E,'（居民）工资表-5月'!E:AG,29,0),0)</f>
        <v>0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74</v>
      </c>
      <c r="C20" s="37"/>
      <c r="D20" s="37" t="s">
        <v>52</v>
      </c>
      <c r="E20" s="37" t="s">
        <v>91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L20+IFERROR(VLOOKUP($E:$E,'（居民）工资表-5月'!$E:$S,15,0),0)</f>
        <v>19000</v>
      </c>
      <c r="T20" s="91">
        <f>5000+IFERROR(VLOOKUP($E:$E,'（居民）工资表-5月'!$E:$T,16,0),0)</f>
        <v>5000</v>
      </c>
      <c r="U20" s="91">
        <f>Q20+IFERROR(VLOOKUP($E:$E,'（居民）工资表-5月'!$E:$U,17,0),0)</f>
        <v>3325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R20+IFERROR(VLOOKUP($E:$E,'（居民）工资表-5月'!$E:$AC,25,0),0)</f>
        <v>0</v>
      </c>
      <c r="AD20" s="93">
        <f t="shared" si="6"/>
        <v>10675</v>
      </c>
      <c r="AE20" s="94">
        <f>ROUND(MAX((AD20)*{0.03;0.1;0.2;0.25;0.3;0.35;0.45}-{0;2520;16920;31920;52920;85920;181920},0),2)</f>
        <v>320.25</v>
      </c>
      <c r="AF20" s="95">
        <f>IFERROR(VLOOKUP(E:E,'（居民）工资表-5月'!E:AF,28,0)+VLOOKUP(E:E,'（居民）工资表-5月'!E:AG,29,0),0)</f>
        <v>0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74</v>
      </c>
      <c r="C21" s="37"/>
      <c r="D21" s="37" t="s">
        <v>52</v>
      </c>
      <c r="E21" s="37" t="s">
        <v>92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L21+IFERROR(VLOOKUP($E:$E,'（居民）工资表-5月'!$E:$S,15,0),0)</f>
        <v>20000</v>
      </c>
      <c r="T21" s="91">
        <f>5000+IFERROR(VLOOKUP($E:$E,'（居民）工资表-5月'!$E:$T,16,0),0)</f>
        <v>5000</v>
      </c>
      <c r="U21" s="91">
        <f>Q21+IFERROR(VLOOKUP($E:$E,'（居民）工资表-5月'!$E:$U,17,0),0)</f>
        <v>3500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R21+IFERROR(VLOOKUP($E:$E,'（居民）工资表-5月'!$E:$AC,25,0),0)</f>
        <v>0</v>
      </c>
      <c r="AD21" s="93">
        <f t="shared" si="6"/>
        <v>11500</v>
      </c>
      <c r="AE21" s="94">
        <f>ROUND(MAX((AD21)*{0.03;0.1;0.2;0.25;0.3;0.35;0.45}-{0;2520;16920;31920;52920;85920;181920},0),2)</f>
        <v>345</v>
      </c>
      <c r="AF21" s="95">
        <f>IFERROR(VLOOKUP(E:E,'（居民）工资表-5月'!E:AF,28,0)+VLOOKUP(E:E,'（居民）工资表-5月'!E:AG,29,0),0)</f>
        <v>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74</v>
      </c>
      <c r="C22" s="37"/>
      <c r="D22" s="37" t="s">
        <v>52</v>
      </c>
      <c r="E22" s="37" t="s">
        <v>93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L22+IFERROR(VLOOKUP($E:$E,'（居民）工资表-5月'!$E:$S,15,0),0)</f>
        <v>21000</v>
      </c>
      <c r="T22" s="91">
        <f>5000+IFERROR(VLOOKUP($E:$E,'（居民）工资表-5月'!$E:$T,16,0),0)</f>
        <v>5000</v>
      </c>
      <c r="U22" s="91">
        <f>Q22+IFERROR(VLOOKUP($E:$E,'（居民）工资表-5月'!$E:$U,17,0),0)</f>
        <v>3675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R22+IFERROR(VLOOKUP($E:$E,'（居民）工资表-5月'!$E:$AC,25,0),0)</f>
        <v>0</v>
      </c>
      <c r="AD22" s="93">
        <f t="shared" si="6"/>
        <v>12325</v>
      </c>
      <c r="AE22" s="94">
        <f>ROUND(MAX((AD22)*{0.03;0.1;0.2;0.25;0.3;0.35;0.45}-{0;2520;16920;31920;52920;85920;181920},0),2)</f>
        <v>369.75</v>
      </c>
      <c r="AF22" s="95">
        <f>IFERROR(VLOOKUP(E:E,'（居民）工资表-5月'!E:AF,28,0)+VLOOKUP(E:E,'（居民）工资表-5月'!E:AG,29,0),0)</f>
        <v>0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74</v>
      </c>
      <c r="C23" s="37"/>
      <c r="D23" s="37" t="s">
        <v>52</v>
      </c>
      <c r="E23" s="37" t="s">
        <v>94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L23+IFERROR(VLOOKUP($E:$E,'（居民）工资表-5月'!$E:$S,15,0),0)</f>
        <v>22000</v>
      </c>
      <c r="T23" s="91">
        <f>5000+IFERROR(VLOOKUP($E:$E,'（居民）工资表-5月'!$E:$T,16,0),0)</f>
        <v>5000</v>
      </c>
      <c r="U23" s="91">
        <f>Q23+IFERROR(VLOOKUP($E:$E,'（居民）工资表-5月'!$E:$U,17,0),0)</f>
        <v>3850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R23+IFERROR(VLOOKUP($E:$E,'（居民）工资表-5月'!$E:$AC,25,0),0)</f>
        <v>0</v>
      </c>
      <c r="AD23" s="93">
        <f t="shared" si="6"/>
        <v>13150</v>
      </c>
      <c r="AE23" s="94">
        <f>ROUND(MAX((AD23)*{0.03;0.1;0.2;0.25;0.3;0.35;0.45}-{0;2520;16920;31920;52920;85920;181920},0),2)</f>
        <v>394.5</v>
      </c>
      <c r="AF23" s="95">
        <f>IFERROR(VLOOKUP(E:E,'（居民）工资表-5月'!E:AF,28,0)+VLOOKUP(E:E,'（居民）工资表-5月'!E:AG,29,0),0)</f>
        <v>0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61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250000</v>
      </c>
      <c r="T24" s="74">
        <f t="shared" si="12"/>
        <v>100000</v>
      </c>
      <c r="U24" s="74">
        <f t="shared" si="12"/>
        <v>43750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106250</v>
      </c>
      <c r="AE24" s="74">
        <f t="shared" si="12"/>
        <v>3342</v>
      </c>
      <c r="AF24" s="74">
        <f t="shared" si="12"/>
        <v>0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62</v>
      </c>
      <c r="D28" s="47" t="s">
        <v>30</v>
      </c>
      <c r="E28" s="47" t="s">
        <v>63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64</v>
      </c>
      <c r="B31" s="51" t="s">
        <v>65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66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67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68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69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70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71</v>
      </c>
    </row>
    <row r="39" spans="2:2">
      <c r="B39" s="59" t="s">
        <v>72</v>
      </c>
    </row>
    <row r="40" spans="2:2">
      <c r="B40" s="59" t="s">
        <v>73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N30" sqref="N30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74</v>
      </c>
      <c r="C4" s="37"/>
      <c r="D4" s="37" t="s">
        <v>52</v>
      </c>
      <c r="E4" s="37" t="s">
        <v>75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L4+IFERROR(VLOOKUP($E:$E,'（居民）工资表-6月'!$E:$S,15,0),0)</f>
        <v>6000</v>
      </c>
      <c r="T4" s="91">
        <f>5000+IFERROR(VLOOKUP($E:$E,'（居民）工资表-6月'!$E:$T,16,0),0)</f>
        <v>10000</v>
      </c>
      <c r="U4" s="91">
        <f>Q4+IFERROR(VLOOKUP($E:$E,'（居民）工资表-6月'!$E:$U,17,0),0)</f>
        <v>1050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R4+IFERROR(VLOOKUP($E:$E,'（居民）工资表-6月'!$E:$AC,25,0),0)</f>
        <v>0</v>
      </c>
      <c r="AD4" s="93">
        <f>ROUND(S4-T4-U4-AB4-AC4,2)</f>
        <v>-5050</v>
      </c>
      <c r="AE4" s="94">
        <f>ROUND(MAX((AD4)*{0.03;0.1;0.2;0.25;0.3;0.35;0.45}-{0;2520;16920;31920;52920;85920;181920},0),2)</f>
        <v>0</v>
      </c>
      <c r="AF4" s="95">
        <f>IFERROR(VLOOKUP(E:E,'（居民）工资表-6月'!E:AF,28,0)+VLOOKUP(E:E,'（居民）工资表-6月'!E:AG,29,0),0)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74</v>
      </c>
      <c r="C5" s="37"/>
      <c r="D5" s="37" t="s">
        <v>52</v>
      </c>
      <c r="E5" s="37" t="s">
        <v>76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L5+IFERROR(VLOOKUP($E:$E,'（居民）工资表-6月'!$E:$S,15,0),0)</f>
        <v>8000</v>
      </c>
      <c r="T5" s="91">
        <f>5000+IFERROR(VLOOKUP($E:$E,'（居民）工资表-6月'!$E:$T,16,0),0)</f>
        <v>10000</v>
      </c>
      <c r="U5" s="91">
        <f>Q5+IFERROR(VLOOKUP($E:$E,'（居民）工资表-6月'!$E:$U,17,0),0)</f>
        <v>1400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R5+IFERROR(VLOOKUP($E:$E,'（居民）工资表-6月'!$E:$AC,25,0),0)</f>
        <v>0</v>
      </c>
      <c r="AD5" s="93">
        <f t="shared" ref="AD5:AD23" si="6">ROUND(S5-T5-U5-AB5-AC5,2)</f>
        <v>-3400</v>
      </c>
      <c r="AE5" s="94">
        <f>ROUND(MAX((AD5)*{0.03;0.1;0.2;0.25;0.3;0.35;0.45}-{0;2520;16920;31920;52920;85920;181920},0),2)</f>
        <v>0</v>
      </c>
      <c r="AF5" s="95">
        <f>IFERROR(VLOOKUP(E:E,'（居民）工资表-6月'!E:AF,28,0)+VLOOKUP(E:E,'（居民）工资表-6月'!E:AG,29,0),0)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74</v>
      </c>
      <c r="C6" s="37"/>
      <c r="D6" s="37" t="s">
        <v>52</v>
      </c>
      <c r="E6" s="37" t="s">
        <v>77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L6+IFERROR(VLOOKUP($E:$E,'（居民）工资表-6月'!$E:$S,15,0),0)</f>
        <v>10000</v>
      </c>
      <c r="T6" s="91">
        <f>5000+IFERROR(VLOOKUP($E:$E,'（居民）工资表-6月'!$E:$T,16,0),0)</f>
        <v>10000</v>
      </c>
      <c r="U6" s="91">
        <f>Q6+IFERROR(VLOOKUP($E:$E,'（居民）工资表-6月'!$E:$U,17,0),0)</f>
        <v>1750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R6+IFERROR(VLOOKUP($E:$E,'（居民）工资表-6月'!$E:$AC,25,0),0)</f>
        <v>0</v>
      </c>
      <c r="AD6" s="93">
        <f t="shared" si="6"/>
        <v>-1750</v>
      </c>
      <c r="AE6" s="94">
        <f>ROUND(MAX((AD6)*{0.03;0.1;0.2;0.25;0.3;0.35;0.45}-{0;2520;16920;31920;52920;85920;181920},0),2)</f>
        <v>0</v>
      </c>
      <c r="AF6" s="95">
        <f>IFERROR(VLOOKUP(E:E,'（居民）工资表-6月'!E:AF,28,0)+VLOOKUP(E:E,'（居民）工资表-6月'!E:AG,29,0),0)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74</v>
      </c>
      <c r="C7" s="37"/>
      <c r="D7" s="37" t="s">
        <v>52</v>
      </c>
      <c r="E7" s="37" t="s">
        <v>78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L7+IFERROR(VLOOKUP($E:$E,'（居民）工资表-6月'!$E:$S,15,0),0)</f>
        <v>12000</v>
      </c>
      <c r="T7" s="91">
        <f>5000+IFERROR(VLOOKUP($E:$E,'（居民）工资表-6月'!$E:$T,16,0),0)</f>
        <v>10000</v>
      </c>
      <c r="U7" s="91">
        <f>Q7+IFERROR(VLOOKUP($E:$E,'（居民）工资表-6月'!$E:$U,17,0),0)</f>
        <v>2100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R7+IFERROR(VLOOKUP($E:$E,'（居民）工资表-6月'!$E:$AC,25,0),0)</f>
        <v>0</v>
      </c>
      <c r="AD7" s="93">
        <f t="shared" si="6"/>
        <v>-100</v>
      </c>
      <c r="AE7" s="94">
        <f>ROUND(MAX((AD7)*{0.03;0.1;0.2;0.25;0.3;0.35;0.45}-{0;2520;16920;31920;52920;85920;181920},0),2)</f>
        <v>0</v>
      </c>
      <c r="AF7" s="95">
        <f>IFERROR(VLOOKUP(E:E,'（居民）工资表-6月'!E:AF,28,0)+VLOOKUP(E:E,'（居民）工资表-6月'!E:AG,29,0),0)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74</v>
      </c>
      <c r="C8" s="37"/>
      <c r="D8" s="37" t="s">
        <v>52</v>
      </c>
      <c r="E8" s="37" t="s">
        <v>79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L8+IFERROR(VLOOKUP($E:$E,'（居民）工资表-6月'!$E:$S,15,0),0)</f>
        <v>14000</v>
      </c>
      <c r="T8" s="91">
        <f>5000+IFERROR(VLOOKUP($E:$E,'（居民）工资表-6月'!$E:$T,16,0),0)</f>
        <v>10000</v>
      </c>
      <c r="U8" s="91">
        <f>Q8+IFERROR(VLOOKUP($E:$E,'（居民）工资表-6月'!$E:$U,17,0),0)</f>
        <v>2450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R8+IFERROR(VLOOKUP($E:$E,'（居民）工资表-6月'!$E:$AC,25,0),0)</f>
        <v>0</v>
      </c>
      <c r="AD8" s="93">
        <f t="shared" si="6"/>
        <v>1550</v>
      </c>
      <c r="AE8" s="94">
        <f>ROUND(MAX((AD8)*{0.03;0.1;0.2;0.25;0.3;0.35;0.45}-{0;2520;16920;31920;52920;85920;181920},0),2)</f>
        <v>46.5</v>
      </c>
      <c r="AF8" s="95">
        <f>IFERROR(VLOOKUP(E:E,'（居民）工资表-6月'!E:AF,28,0)+VLOOKUP(E:E,'（居民）工资表-6月'!E:AG,29,0),0)</f>
        <v>23.25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74</v>
      </c>
      <c r="C9" s="37"/>
      <c r="D9" s="37" t="s">
        <v>52</v>
      </c>
      <c r="E9" s="37" t="s">
        <v>80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L9+IFERROR(VLOOKUP($E:$E,'（居民）工资表-6月'!$E:$S,15,0),0)</f>
        <v>16000</v>
      </c>
      <c r="T9" s="91">
        <f>5000+IFERROR(VLOOKUP($E:$E,'（居民）工资表-6月'!$E:$T,16,0),0)</f>
        <v>10000</v>
      </c>
      <c r="U9" s="91">
        <f>Q9+IFERROR(VLOOKUP($E:$E,'（居民）工资表-6月'!$E:$U,17,0),0)</f>
        <v>2800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R9+IFERROR(VLOOKUP($E:$E,'（居民）工资表-6月'!$E:$AC,25,0),0)</f>
        <v>0</v>
      </c>
      <c r="AD9" s="93">
        <f t="shared" si="6"/>
        <v>3200</v>
      </c>
      <c r="AE9" s="94">
        <f>ROUND(MAX((AD9)*{0.03;0.1;0.2;0.25;0.3;0.35;0.45}-{0;2520;16920;31920;52920;85920;181920},0),2)</f>
        <v>96</v>
      </c>
      <c r="AF9" s="95">
        <f>IFERROR(VLOOKUP(E:E,'（居民）工资表-6月'!E:AF,28,0)+VLOOKUP(E:E,'（居民）工资表-6月'!E:AG,29,0),0)</f>
        <v>48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74</v>
      </c>
      <c r="C10" s="37"/>
      <c r="D10" s="37" t="s">
        <v>52</v>
      </c>
      <c r="E10" s="37" t="s">
        <v>81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L10+IFERROR(VLOOKUP($E:$E,'（居民）工资表-6月'!$E:$S,15,0),0)</f>
        <v>18000</v>
      </c>
      <c r="T10" s="91">
        <f>5000+IFERROR(VLOOKUP($E:$E,'（居民）工资表-6月'!$E:$T,16,0),0)</f>
        <v>10000</v>
      </c>
      <c r="U10" s="91">
        <f>Q10+IFERROR(VLOOKUP($E:$E,'（居民）工资表-6月'!$E:$U,17,0),0)</f>
        <v>3150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R10+IFERROR(VLOOKUP($E:$E,'（居民）工资表-6月'!$E:$AC,25,0),0)</f>
        <v>0</v>
      </c>
      <c r="AD10" s="93">
        <f t="shared" si="6"/>
        <v>4850</v>
      </c>
      <c r="AE10" s="94">
        <f>ROUND(MAX((AD10)*{0.03;0.1;0.2;0.25;0.3;0.35;0.45}-{0;2520;16920;31920;52920;85920;181920},0),2)</f>
        <v>145.5</v>
      </c>
      <c r="AF10" s="95">
        <f>IFERROR(VLOOKUP(E:E,'（居民）工资表-6月'!E:AF,28,0)+VLOOKUP(E:E,'（居民）工资表-6月'!E:AG,29,0),0)</f>
        <v>72.75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74</v>
      </c>
      <c r="C11" s="37"/>
      <c r="D11" s="37" t="s">
        <v>52</v>
      </c>
      <c r="E11" s="37" t="s">
        <v>82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L11+IFERROR(VLOOKUP($E:$E,'（居民）工资表-6月'!$E:$S,15,0),0)</f>
        <v>20000</v>
      </c>
      <c r="T11" s="91">
        <f>5000+IFERROR(VLOOKUP($E:$E,'（居民）工资表-6月'!$E:$T,16,0),0)</f>
        <v>10000</v>
      </c>
      <c r="U11" s="91">
        <f>Q11+IFERROR(VLOOKUP($E:$E,'（居民）工资表-6月'!$E:$U,17,0),0)</f>
        <v>3500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R11+IFERROR(VLOOKUP($E:$E,'（居民）工资表-6月'!$E:$AC,25,0),0)</f>
        <v>0</v>
      </c>
      <c r="AD11" s="93">
        <f t="shared" si="6"/>
        <v>6500</v>
      </c>
      <c r="AE11" s="94">
        <f>ROUND(MAX((AD11)*{0.03;0.1;0.2;0.25;0.3;0.35;0.45}-{0;2520;16920;31920;52920;85920;181920},0),2)</f>
        <v>195</v>
      </c>
      <c r="AF11" s="95">
        <f>IFERROR(VLOOKUP(E:E,'（居民）工资表-6月'!E:AF,28,0)+VLOOKUP(E:E,'（居民）工资表-6月'!E:AG,29,0),0)</f>
        <v>97.5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74</v>
      </c>
      <c r="C12" s="37"/>
      <c r="D12" s="37" t="s">
        <v>52</v>
      </c>
      <c r="E12" s="37" t="s">
        <v>83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L12+IFERROR(VLOOKUP($E:$E,'（居民）工资表-6月'!$E:$S,15,0),0)</f>
        <v>22000</v>
      </c>
      <c r="T12" s="91">
        <f>5000+IFERROR(VLOOKUP($E:$E,'（居民）工资表-6月'!$E:$T,16,0),0)</f>
        <v>10000</v>
      </c>
      <c r="U12" s="91">
        <f>Q12+IFERROR(VLOOKUP($E:$E,'（居民）工资表-6月'!$E:$U,17,0),0)</f>
        <v>3850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R12+IFERROR(VLOOKUP($E:$E,'（居民）工资表-6月'!$E:$AC,25,0),0)</f>
        <v>0</v>
      </c>
      <c r="AD12" s="93">
        <f t="shared" si="6"/>
        <v>8150</v>
      </c>
      <c r="AE12" s="94">
        <f>ROUND(MAX((AD12)*{0.03;0.1;0.2;0.25;0.3;0.35;0.45}-{0;2520;16920;31920;52920;85920;181920},0),2)</f>
        <v>244.5</v>
      </c>
      <c r="AF12" s="95">
        <f>IFERROR(VLOOKUP(E:E,'（居民）工资表-6月'!E:AF,28,0)+VLOOKUP(E:E,'（居民）工资表-6月'!E:AG,29,0),0)</f>
        <v>122.25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74</v>
      </c>
      <c r="C13" s="37"/>
      <c r="D13" s="37" t="s">
        <v>52</v>
      </c>
      <c r="E13" s="37" t="s">
        <v>84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L13+IFERROR(VLOOKUP($E:$E,'（居民）工资表-6月'!$E:$S,15,0),0)</f>
        <v>24000</v>
      </c>
      <c r="T13" s="91">
        <f>5000+IFERROR(VLOOKUP($E:$E,'（居民）工资表-6月'!$E:$T,16,0),0)</f>
        <v>10000</v>
      </c>
      <c r="U13" s="91">
        <f>Q13+IFERROR(VLOOKUP($E:$E,'（居民）工资表-6月'!$E:$U,17,0),0)</f>
        <v>4200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R13+IFERROR(VLOOKUP($E:$E,'（居民）工资表-6月'!$E:$AC,25,0),0)</f>
        <v>0</v>
      </c>
      <c r="AD13" s="93">
        <f t="shared" si="6"/>
        <v>9800</v>
      </c>
      <c r="AE13" s="94">
        <f>ROUND(MAX((AD13)*{0.03;0.1;0.2;0.25;0.3;0.35;0.45}-{0;2520;16920;31920;52920;85920;181920},0),2)</f>
        <v>294</v>
      </c>
      <c r="AF13" s="95">
        <f>IFERROR(VLOOKUP(E:E,'（居民）工资表-6月'!E:AF,28,0)+VLOOKUP(E:E,'（居民）工资表-6月'!E:AG,29,0),0)</f>
        <v>147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74</v>
      </c>
      <c r="C14" s="37"/>
      <c r="D14" s="37" t="s">
        <v>52</v>
      </c>
      <c r="E14" s="37" t="s">
        <v>85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L14+IFERROR(VLOOKUP($E:$E,'（居民）工资表-6月'!$E:$S,15,0),0)</f>
        <v>26000</v>
      </c>
      <c r="T14" s="91">
        <f>5000+IFERROR(VLOOKUP($E:$E,'（居民）工资表-6月'!$E:$T,16,0),0)</f>
        <v>10000</v>
      </c>
      <c r="U14" s="91">
        <f>Q14+IFERROR(VLOOKUP($E:$E,'（居民）工资表-6月'!$E:$U,17,0),0)</f>
        <v>4550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R14+IFERROR(VLOOKUP($E:$E,'（居民）工资表-6月'!$E:$AC,25,0),0)</f>
        <v>0</v>
      </c>
      <c r="AD14" s="93">
        <f t="shared" si="6"/>
        <v>11450</v>
      </c>
      <c r="AE14" s="94">
        <f>ROUND(MAX((AD14)*{0.03;0.1;0.2;0.25;0.3;0.35;0.45}-{0;2520;16920;31920;52920;85920;181920},0),2)</f>
        <v>343.5</v>
      </c>
      <c r="AF14" s="95">
        <f>IFERROR(VLOOKUP(E:E,'（居民）工资表-6月'!E:AF,28,0)+VLOOKUP(E:E,'（居民）工资表-6月'!E:AG,29,0),0)</f>
        <v>171.75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74</v>
      </c>
      <c r="C15" s="37"/>
      <c r="D15" s="37" t="s">
        <v>52</v>
      </c>
      <c r="E15" s="37" t="s">
        <v>86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L15+IFERROR(VLOOKUP($E:$E,'（居民）工资表-6月'!$E:$S,15,0),0)</f>
        <v>28000</v>
      </c>
      <c r="T15" s="91">
        <f>5000+IFERROR(VLOOKUP($E:$E,'（居民）工资表-6月'!$E:$T,16,0),0)</f>
        <v>10000</v>
      </c>
      <c r="U15" s="91">
        <f>Q15+IFERROR(VLOOKUP($E:$E,'（居民）工资表-6月'!$E:$U,17,0),0)</f>
        <v>4900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R15+IFERROR(VLOOKUP($E:$E,'（居民）工资表-6月'!$E:$AC,25,0),0)</f>
        <v>0</v>
      </c>
      <c r="AD15" s="93">
        <f t="shared" si="6"/>
        <v>13100</v>
      </c>
      <c r="AE15" s="94">
        <f>ROUND(MAX((AD15)*{0.03;0.1;0.2;0.25;0.3;0.35;0.45}-{0;2520;16920;31920;52920;85920;181920},0),2)</f>
        <v>393</v>
      </c>
      <c r="AF15" s="95">
        <f>IFERROR(VLOOKUP(E:E,'（居民）工资表-6月'!E:AF,28,0)+VLOOKUP(E:E,'（居民）工资表-6月'!E:AG,29,0),0)</f>
        <v>196.5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74</v>
      </c>
      <c r="C16" s="37"/>
      <c r="D16" s="37" t="s">
        <v>52</v>
      </c>
      <c r="E16" s="37" t="s">
        <v>87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L16+IFERROR(VLOOKUP($E:$E,'（居民）工资表-6月'!$E:$S,15,0),0)</f>
        <v>30000</v>
      </c>
      <c r="T16" s="91">
        <f>5000+IFERROR(VLOOKUP($E:$E,'（居民）工资表-6月'!$E:$T,16,0),0)</f>
        <v>10000</v>
      </c>
      <c r="U16" s="91">
        <f>Q16+IFERROR(VLOOKUP($E:$E,'（居民）工资表-6月'!$E:$U,17,0),0)</f>
        <v>5250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R16+IFERROR(VLOOKUP($E:$E,'（居民）工资表-6月'!$E:$AC,25,0),0)</f>
        <v>0</v>
      </c>
      <c r="AD16" s="93">
        <f t="shared" si="6"/>
        <v>14750</v>
      </c>
      <c r="AE16" s="94">
        <f>ROUND(MAX((AD16)*{0.03;0.1;0.2;0.25;0.3;0.35;0.45}-{0;2520;16920;31920;52920;85920;181920},0),2)</f>
        <v>442.5</v>
      </c>
      <c r="AF16" s="95">
        <f>IFERROR(VLOOKUP(E:E,'（居民）工资表-6月'!E:AF,28,0)+VLOOKUP(E:E,'（居民）工资表-6月'!E:AG,29,0),0)</f>
        <v>221.25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74</v>
      </c>
      <c r="C17" s="37"/>
      <c r="D17" s="37" t="s">
        <v>52</v>
      </c>
      <c r="E17" s="37" t="s">
        <v>88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L17+IFERROR(VLOOKUP($E:$E,'（居民）工资表-6月'!$E:$S,15,0),0)</f>
        <v>32000</v>
      </c>
      <c r="T17" s="91">
        <f>5000+IFERROR(VLOOKUP($E:$E,'（居民）工资表-6月'!$E:$T,16,0),0)</f>
        <v>10000</v>
      </c>
      <c r="U17" s="91">
        <f>Q17+IFERROR(VLOOKUP($E:$E,'（居民）工资表-6月'!$E:$U,17,0),0)</f>
        <v>5600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R17+IFERROR(VLOOKUP($E:$E,'（居民）工资表-6月'!$E:$AC,25,0),0)</f>
        <v>0</v>
      </c>
      <c r="AD17" s="93">
        <f t="shared" si="6"/>
        <v>16400</v>
      </c>
      <c r="AE17" s="94">
        <f>ROUND(MAX((AD17)*{0.03;0.1;0.2;0.25;0.3;0.35;0.45}-{0;2520;16920;31920;52920;85920;181920},0),2)</f>
        <v>492</v>
      </c>
      <c r="AF17" s="95">
        <f>IFERROR(VLOOKUP(E:E,'（居民）工资表-6月'!E:AF,28,0)+VLOOKUP(E:E,'（居民）工资表-6月'!E:AG,29,0),0)</f>
        <v>246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74</v>
      </c>
      <c r="C18" s="37"/>
      <c r="D18" s="37" t="s">
        <v>52</v>
      </c>
      <c r="E18" s="37" t="s">
        <v>89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L18+IFERROR(VLOOKUP($E:$E,'（居民）工资表-6月'!$E:$S,15,0),0)</f>
        <v>34000</v>
      </c>
      <c r="T18" s="91">
        <f>5000+IFERROR(VLOOKUP($E:$E,'（居民）工资表-6月'!$E:$T,16,0),0)</f>
        <v>10000</v>
      </c>
      <c r="U18" s="91">
        <f>Q18+IFERROR(VLOOKUP($E:$E,'（居民）工资表-6月'!$E:$U,17,0),0)</f>
        <v>5950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R18+IFERROR(VLOOKUP($E:$E,'（居民）工资表-6月'!$E:$AC,25,0),0)</f>
        <v>0</v>
      </c>
      <c r="AD18" s="93">
        <f t="shared" si="6"/>
        <v>18050</v>
      </c>
      <c r="AE18" s="94">
        <f>ROUND(MAX((AD18)*{0.03;0.1;0.2;0.25;0.3;0.35;0.45}-{0;2520;16920;31920;52920;85920;181920},0),2)</f>
        <v>541.5</v>
      </c>
      <c r="AF18" s="95">
        <f>IFERROR(VLOOKUP(E:E,'（居民）工资表-6月'!E:AF,28,0)+VLOOKUP(E:E,'（居民）工资表-6月'!E:AG,29,0),0)</f>
        <v>270.75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74</v>
      </c>
      <c r="C19" s="37"/>
      <c r="D19" s="37" t="s">
        <v>52</v>
      </c>
      <c r="E19" s="37" t="s">
        <v>90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L19+IFERROR(VLOOKUP($E:$E,'（居民）工资表-6月'!$E:$S,15,0),0)</f>
        <v>36000</v>
      </c>
      <c r="T19" s="91">
        <f>5000+IFERROR(VLOOKUP($E:$E,'（居民）工资表-6月'!$E:$T,16,0),0)</f>
        <v>10000</v>
      </c>
      <c r="U19" s="91">
        <f>Q19+IFERROR(VLOOKUP($E:$E,'（居民）工资表-6月'!$E:$U,17,0),0)</f>
        <v>6300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R19+IFERROR(VLOOKUP($E:$E,'（居民）工资表-6月'!$E:$AC,25,0),0)</f>
        <v>0</v>
      </c>
      <c r="AD19" s="93">
        <f t="shared" si="6"/>
        <v>19700</v>
      </c>
      <c r="AE19" s="94">
        <f>ROUND(MAX((AD19)*{0.03;0.1;0.2;0.25;0.3;0.35;0.45}-{0;2520;16920;31920;52920;85920;181920},0),2)</f>
        <v>591</v>
      </c>
      <c r="AF19" s="95">
        <f>IFERROR(VLOOKUP(E:E,'（居民）工资表-6月'!E:AF,28,0)+VLOOKUP(E:E,'（居民）工资表-6月'!E:AG,29,0),0)</f>
        <v>295.5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74</v>
      </c>
      <c r="C20" s="37"/>
      <c r="D20" s="37" t="s">
        <v>52</v>
      </c>
      <c r="E20" s="37" t="s">
        <v>91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L20+IFERROR(VLOOKUP($E:$E,'（居民）工资表-6月'!$E:$S,15,0),0)</f>
        <v>38000</v>
      </c>
      <c r="T20" s="91">
        <f>5000+IFERROR(VLOOKUP($E:$E,'（居民）工资表-6月'!$E:$T,16,0),0)</f>
        <v>10000</v>
      </c>
      <c r="U20" s="91">
        <f>Q20+IFERROR(VLOOKUP($E:$E,'（居民）工资表-6月'!$E:$U,17,0),0)</f>
        <v>6650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R20+IFERROR(VLOOKUP($E:$E,'（居民）工资表-6月'!$E:$AC,25,0),0)</f>
        <v>0</v>
      </c>
      <c r="AD20" s="93">
        <f t="shared" si="6"/>
        <v>21350</v>
      </c>
      <c r="AE20" s="94">
        <f>ROUND(MAX((AD20)*{0.03;0.1;0.2;0.25;0.3;0.35;0.45}-{0;2520;16920;31920;52920;85920;181920},0),2)</f>
        <v>640.5</v>
      </c>
      <c r="AF20" s="95">
        <f>IFERROR(VLOOKUP(E:E,'（居民）工资表-6月'!E:AF,28,0)+VLOOKUP(E:E,'（居民）工资表-6月'!E:AG,29,0),0)</f>
        <v>320.25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74</v>
      </c>
      <c r="C21" s="37"/>
      <c r="D21" s="37" t="s">
        <v>52</v>
      </c>
      <c r="E21" s="37" t="s">
        <v>92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L21+IFERROR(VLOOKUP($E:$E,'（居民）工资表-6月'!$E:$S,15,0),0)</f>
        <v>40000</v>
      </c>
      <c r="T21" s="91">
        <f>5000+IFERROR(VLOOKUP($E:$E,'（居民）工资表-6月'!$E:$T,16,0),0)</f>
        <v>10000</v>
      </c>
      <c r="U21" s="91">
        <f>Q21+IFERROR(VLOOKUP($E:$E,'（居民）工资表-6月'!$E:$U,17,0),0)</f>
        <v>7000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R21+IFERROR(VLOOKUP($E:$E,'（居民）工资表-6月'!$E:$AC,25,0),0)</f>
        <v>0</v>
      </c>
      <c r="AD21" s="93">
        <f t="shared" si="6"/>
        <v>23000</v>
      </c>
      <c r="AE21" s="94">
        <f>ROUND(MAX((AD21)*{0.03;0.1;0.2;0.25;0.3;0.35;0.45}-{0;2520;16920;31920;52920;85920;181920},0),2)</f>
        <v>690</v>
      </c>
      <c r="AF21" s="95">
        <f>IFERROR(VLOOKUP(E:E,'（居民）工资表-6月'!E:AF,28,0)+VLOOKUP(E:E,'（居民）工资表-6月'!E:AG,29,0),0)</f>
        <v>345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74</v>
      </c>
      <c r="C22" s="37"/>
      <c r="D22" s="37" t="s">
        <v>52</v>
      </c>
      <c r="E22" s="37" t="s">
        <v>93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L22+IFERROR(VLOOKUP($E:$E,'（居民）工资表-6月'!$E:$S,15,0),0)</f>
        <v>42000</v>
      </c>
      <c r="T22" s="91">
        <f>5000+IFERROR(VLOOKUP($E:$E,'（居民）工资表-6月'!$E:$T,16,0),0)</f>
        <v>10000</v>
      </c>
      <c r="U22" s="91">
        <f>Q22+IFERROR(VLOOKUP($E:$E,'（居民）工资表-6月'!$E:$U,17,0),0)</f>
        <v>7350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R22+IFERROR(VLOOKUP($E:$E,'（居民）工资表-6月'!$E:$AC,25,0),0)</f>
        <v>0</v>
      </c>
      <c r="AD22" s="93">
        <f t="shared" si="6"/>
        <v>24650</v>
      </c>
      <c r="AE22" s="94">
        <f>ROUND(MAX((AD22)*{0.03;0.1;0.2;0.25;0.3;0.35;0.45}-{0;2520;16920;31920;52920;85920;181920},0),2)</f>
        <v>739.5</v>
      </c>
      <c r="AF22" s="95">
        <f>IFERROR(VLOOKUP(E:E,'（居民）工资表-6月'!E:AF,28,0)+VLOOKUP(E:E,'（居民）工资表-6月'!E:AG,29,0),0)</f>
        <v>369.75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74</v>
      </c>
      <c r="C23" s="37"/>
      <c r="D23" s="37" t="s">
        <v>52</v>
      </c>
      <c r="E23" s="37" t="s">
        <v>94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L23+IFERROR(VLOOKUP($E:$E,'（居民）工资表-6月'!$E:$S,15,0),0)</f>
        <v>44000</v>
      </c>
      <c r="T23" s="91">
        <f>5000+IFERROR(VLOOKUP($E:$E,'（居民）工资表-6月'!$E:$T,16,0),0)</f>
        <v>10000</v>
      </c>
      <c r="U23" s="91">
        <f>Q23+IFERROR(VLOOKUP($E:$E,'（居民）工资表-6月'!$E:$U,17,0),0)</f>
        <v>7700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R23+IFERROR(VLOOKUP($E:$E,'（居民）工资表-6月'!$E:$AC,25,0),0)</f>
        <v>0</v>
      </c>
      <c r="AD23" s="93">
        <f t="shared" si="6"/>
        <v>26300</v>
      </c>
      <c r="AE23" s="94">
        <f>ROUND(MAX((AD23)*{0.03;0.1;0.2;0.25;0.3;0.35;0.45}-{0;2520;16920;31920;52920;85920;181920},0),2)</f>
        <v>789</v>
      </c>
      <c r="AF23" s="95">
        <f>IFERROR(VLOOKUP(E:E,'（居民）工资表-6月'!E:AF,28,0)+VLOOKUP(E:E,'（居民）工资表-6月'!E:AG,29,0),0)</f>
        <v>394.5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61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500000</v>
      </c>
      <c r="T24" s="74">
        <f t="shared" si="12"/>
        <v>200000</v>
      </c>
      <c r="U24" s="74">
        <f t="shared" si="12"/>
        <v>87500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212500</v>
      </c>
      <c r="AE24" s="74">
        <f t="shared" si="12"/>
        <v>6684</v>
      </c>
      <c r="AF24" s="74">
        <f t="shared" si="12"/>
        <v>3342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62</v>
      </c>
      <c r="D28" s="47" t="s">
        <v>30</v>
      </c>
      <c r="E28" s="47" t="s">
        <v>63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64</v>
      </c>
      <c r="B31" s="51" t="s">
        <v>65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66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67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68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69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70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71</v>
      </c>
    </row>
    <row r="39" spans="2:2">
      <c r="B39" s="59" t="s">
        <v>72</v>
      </c>
    </row>
    <row r="40" spans="2:2">
      <c r="B40" s="59" t="s">
        <v>73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74</v>
      </c>
      <c r="C4" s="37"/>
      <c r="D4" s="37" t="s">
        <v>52</v>
      </c>
      <c r="E4" s="37" t="s">
        <v>75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L4+IFERROR(VLOOKUP($E:$E,'（居民）工资表-7月'!$E:$S,15,0),0)</f>
        <v>9000</v>
      </c>
      <c r="T4" s="91">
        <f>5000+IFERROR(VLOOKUP($E:$E,'（居民）工资表-7月'!$E:$T,16,0),0)</f>
        <v>15000</v>
      </c>
      <c r="U4" s="91">
        <f>Q4+IFERROR(VLOOKUP($E:$E,'（居民）工资表-7月'!$E:$U,17,0),0)</f>
        <v>1575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3">
        <f>ROUND(S4-T4-U4-AB4-AC4,2)</f>
        <v>-7575</v>
      </c>
      <c r="AE4" s="94">
        <f>ROUND(MAX((AD4)*{0.03;0.1;0.2;0.25;0.3;0.35;0.45}-{0;2520;16920;31920;52920;85920;181920},0),2)</f>
        <v>0</v>
      </c>
      <c r="AF4" s="95">
        <f>IFERROR(VLOOKUP(E:E,'（居民）工资表-7月'!E:AF,28,0)+VLOOKUP(E:E,'（居民）工资表-7月'!E:AG,29,0),0)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74</v>
      </c>
      <c r="C5" s="37"/>
      <c r="D5" s="37" t="s">
        <v>52</v>
      </c>
      <c r="E5" s="37" t="s">
        <v>76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L5+IFERROR(VLOOKUP($E:$E,'（居民）工资表-7月'!$E:$S,15,0),0)</f>
        <v>12000</v>
      </c>
      <c r="T5" s="91">
        <f>5000+IFERROR(VLOOKUP($E:$E,'（居民）工资表-7月'!$E:$T,16,0),0)</f>
        <v>15000</v>
      </c>
      <c r="U5" s="91">
        <f>Q5+IFERROR(VLOOKUP($E:$E,'（居民）工资表-7月'!$E:$U,17,0),0)</f>
        <v>2100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R5+IFERROR(VLOOKUP($E:$E,'（居民）工资表-7月'!$E:$AC,25,0),0)</f>
        <v>0</v>
      </c>
      <c r="AD5" s="93">
        <f t="shared" ref="AD5:AD23" si="6">ROUND(S5-T5-U5-AB5-AC5,2)</f>
        <v>-5100</v>
      </c>
      <c r="AE5" s="94">
        <f>ROUND(MAX((AD5)*{0.03;0.1;0.2;0.25;0.3;0.35;0.45}-{0;2520;16920;31920;52920;85920;181920},0),2)</f>
        <v>0</v>
      </c>
      <c r="AF5" s="95">
        <f>IFERROR(VLOOKUP(E:E,'（居民）工资表-7月'!E:AF,28,0)+VLOOKUP(E:E,'（居民）工资表-7月'!E:AG,29,0),0)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74</v>
      </c>
      <c r="C6" s="37"/>
      <c r="D6" s="37" t="s">
        <v>52</v>
      </c>
      <c r="E6" s="37" t="s">
        <v>77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L6+IFERROR(VLOOKUP($E:$E,'（居民）工资表-7月'!$E:$S,15,0),0)</f>
        <v>15000</v>
      </c>
      <c r="T6" s="91">
        <f>5000+IFERROR(VLOOKUP($E:$E,'（居民）工资表-7月'!$E:$T,16,0),0)</f>
        <v>15000</v>
      </c>
      <c r="U6" s="91">
        <f>Q6+IFERROR(VLOOKUP($E:$E,'（居民）工资表-7月'!$E:$U,17,0),0)</f>
        <v>2625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R6+IFERROR(VLOOKUP($E:$E,'（居民）工资表-7月'!$E:$AC,25,0),0)</f>
        <v>0</v>
      </c>
      <c r="AD6" s="93">
        <f t="shared" si="6"/>
        <v>-2625</v>
      </c>
      <c r="AE6" s="94">
        <f>ROUND(MAX((AD6)*{0.03;0.1;0.2;0.25;0.3;0.35;0.45}-{0;2520;16920;31920;52920;85920;181920},0),2)</f>
        <v>0</v>
      </c>
      <c r="AF6" s="95">
        <f>IFERROR(VLOOKUP(E:E,'（居民）工资表-7月'!E:AF,28,0)+VLOOKUP(E:E,'（居民）工资表-7月'!E:AG,29,0),0)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74</v>
      </c>
      <c r="C7" s="37"/>
      <c r="D7" s="37" t="s">
        <v>52</v>
      </c>
      <c r="E7" s="37" t="s">
        <v>78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L7+IFERROR(VLOOKUP($E:$E,'（居民）工资表-7月'!$E:$S,15,0),0)</f>
        <v>18000</v>
      </c>
      <c r="T7" s="91">
        <f>5000+IFERROR(VLOOKUP($E:$E,'（居民）工资表-7月'!$E:$T,16,0),0)</f>
        <v>15000</v>
      </c>
      <c r="U7" s="91">
        <f>Q7+IFERROR(VLOOKUP($E:$E,'（居民）工资表-7月'!$E:$U,17,0),0)</f>
        <v>3150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R7+IFERROR(VLOOKUP($E:$E,'（居民）工资表-7月'!$E:$AC,25,0),0)</f>
        <v>0</v>
      </c>
      <c r="AD7" s="93">
        <f t="shared" si="6"/>
        <v>-150</v>
      </c>
      <c r="AE7" s="94">
        <f>ROUND(MAX((AD7)*{0.03;0.1;0.2;0.25;0.3;0.35;0.45}-{0;2520;16920;31920;52920;85920;181920},0),2)</f>
        <v>0</v>
      </c>
      <c r="AF7" s="95">
        <f>IFERROR(VLOOKUP(E:E,'（居民）工资表-7月'!E:AF,28,0)+VLOOKUP(E:E,'（居民）工资表-7月'!E:AG,29,0),0)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74</v>
      </c>
      <c r="C8" s="37"/>
      <c r="D8" s="37" t="s">
        <v>52</v>
      </c>
      <c r="E8" s="37" t="s">
        <v>79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L8+IFERROR(VLOOKUP($E:$E,'（居民）工资表-7月'!$E:$S,15,0),0)</f>
        <v>21000</v>
      </c>
      <c r="T8" s="91">
        <f>5000+IFERROR(VLOOKUP($E:$E,'（居民）工资表-7月'!$E:$T,16,0),0)</f>
        <v>15000</v>
      </c>
      <c r="U8" s="91">
        <f>Q8+IFERROR(VLOOKUP($E:$E,'（居民）工资表-7月'!$E:$U,17,0),0)</f>
        <v>3675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R8+IFERROR(VLOOKUP($E:$E,'（居民）工资表-7月'!$E:$AC,25,0),0)</f>
        <v>0</v>
      </c>
      <c r="AD8" s="93">
        <f t="shared" si="6"/>
        <v>2325</v>
      </c>
      <c r="AE8" s="94">
        <f>ROUND(MAX((AD8)*{0.03;0.1;0.2;0.25;0.3;0.35;0.45}-{0;2520;16920;31920;52920;85920;181920},0),2)</f>
        <v>69.75</v>
      </c>
      <c r="AF8" s="95">
        <f>IFERROR(VLOOKUP(E:E,'（居民）工资表-7月'!E:AF,28,0)+VLOOKUP(E:E,'（居民）工资表-7月'!E:AG,29,0),0)</f>
        <v>46.5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74</v>
      </c>
      <c r="C9" s="37"/>
      <c r="D9" s="37" t="s">
        <v>52</v>
      </c>
      <c r="E9" s="37" t="s">
        <v>80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L9+IFERROR(VLOOKUP($E:$E,'（居民）工资表-7月'!$E:$S,15,0),0)</f>
        <v>24000</v>
      </c>
      <c r="T9" s="91">
        <f>5000+IFERROR(VLOOKUP($E:$E,'（居民）工资表-7月'!$E:$T,16,0),0)</f>
        <v>15000</v>
      </c>
      <c r="U9" s="91">
        <f>Q9+IFERROR(VLOOKUP($E:$E,'（居民）工资表-7月'!$E:$U,17,0),0)</f>
        <v>4200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R9+IFERROR(VLOOKUP($E:$E,'（居民）工资表-7月'!$E:$AC,25,0),0)</f>
        <v>0</v>
      </c>
      <c r="AD9" s="93">
        <f t="shared" si="6"/>
        <v>4800</v>
      </c>
      <c r="AE9" s="94">
        <f>ROUND(MAX((AD9)*{0.03;0.1;0.2;0.25;0.3;0.35;0.45}-{0;2520;16920;31920;52920;85920;181920},0),2)</f>
        <v>144</v>
      </c>
      <c r="AF9" s="95">
        <f>IFERROR(VLOOKUP(E:E,'（居民）工资表-7月'!E:AF,28,0)+VLOOKUP(E:E,'（居民）工资表-7月'!E:AG,29,0),0)</f>
        <v>96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74</v>
      </c>
      <c r="C10" s="37"/>
      <c r="D10" s="37" t="s">
        <v>52</v>
      </c>
      <c r="E10" s="37" t="s">
        <v>81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L10+IFERROR(VLOOKUP($E:$E,'（居民）工资表-7月'!$E:$S,15,0),0)</f>
        <v>27000</v>
      </c>
      <c r="T10" s="91">
        <f>5000+IFERROR(VLOOKUP($E:$E,'（居民）工资表-7月'!$E:$T,16,0),0)</f>
        <v>15000</v>
      </c>
      <c r="U10" s="91">
        <f>Q10+IFERROR(VLOOKUP($E:$E,'（居民）工资表-7月'!$E:$U,17,0),0)</f>
        <v>4725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R10+IFERROR(VLOOKUP($E:$E,'（居民）工资表-7月'!$E:$AC,25,0),0)</f>
        <v>0</v>
      </c>
      <c r="AD10" s="93">
        <f t="shared" si="6"/>
        <v>7275</v>
      </c>
      <c r="AE10" s="94">
        <f>ROUND(MAX((AD10)*{0.03;0.1;0.2;0.25;0.3;0.35;0.45}-{0;2520;16920;31920;52920;85920;181920},0),2)</f>
        <v>218.25</v>
      </c>
      <c r="AF10" s="95">
        <f>IFERROR(VLOOKUP(E:E,'（居民）工资表-7月'!E:AF,28,0)+VLOOKUP(E:E,'（居民）工资表-7月'!E:AG,29,0),0)</f>
        <v>145.5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74</v>
      </c>
      <c r="C11" s="37"/>
      <c r="D11" s="37" t="s">
        <v>52</v>
      </c>
      <c r="E11" s="37" t="s">
        <v>82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L11+IFERROR(VLOOKUP($E:$E,'（居民）工资表-7月'!$E:$S,15,0),0)</f>
        <v>30000</v>
      </c>
      <c r="T11" s="91">
        <f>5000+IFERROR(VLOOKUP($E:$E,'（居民）工资表-7月'!$E:$T,16,0),0)</f>
        <v>15000</v>
      </c>
      <c r="U11" s="91">
        <f>Q11+IFERROR(VLOOKUP($E:$E,'（居民）工资表-7月'!$E:$U,17,0),0)</f>
        <v>5250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R11+IFERROR(VLOOKUP($E:$E,'（居民）工资表-7月'!$E:$AC,25,0),0)</f>
        <v>0</v>
      </c>
      <c r="AD11" s="93">
        <f t="shared" si="6"/>
        <v>9750</v>
      </c>
      <c r="AE11" s="94">
        <f>ROUND(MAX((AD11)*{0.03;0.1;0.2;0.25;0.3;0.35;0.45}-{0;2520;16920;31920;52920;85920;181920},0),2)</f>
        <v>292.5</v>
      </c>
      <c r="AF11" s="95">
        <f>IFERROR(VLOOKUP(E:E,'（居民）工资表-7月'!E:AF,28,0)+VLOOKUP(E:E,'（居民）工资表-7月'!E:AG,29,0),0)</f>
        <v>195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74</v>
      </c>
      <c r="C12" s="37"/>
      <c r="D12" s="37" t="s">
        <v>52</v>
      </c>
      <c r="E12" s="37" t="s">
        <v>83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L12+IFERROR(VLOOKUP($E:$E,'（居民）工资表-7月'!$E:$S,15,0),0)</f>
        <v>33000</v>
      </c>
      <c r="T12" s="91">
        <f>5000+IFERROR(VLOOKUP($E:$E,'（居民）工资表-7月'!$E:$T,16,0),0)</f>
        <v>15000</v>
      </c>
      <c r="U12" s="91">
        <f>Q12+IFERROR(VLOOKUP($E:$E,'（居民）工资表-7月'!$E:$U,17,0),0)</f>
        <v>5775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R12+IFERROR(VLOOKUP($E:$E,'（居民）工资表-7月'!$E:$AC,25,0),0)</f>
        <v>0</v>
      </c>
      <c r="AD12" s="93">
        <f t="shared" si="6"/>
        <v>12225</v>
      </c>
      <c r="AE12" s="94">
        <f>ROUND(MAX((AD12)*{0.03;0.1;0.2;0.25;0.3;0.35;0.45}-{0;2520;16920;31920;52920;85920;181920},0),2)</f>
        <v>366.75</v>
      </c>
      <c r="AF12" s="95">
        <f>IFERROR(VLOOKUP(E:E,'（居民）工资表-7月'!E:AF,28,0)+VLOOKUP(E:E,'（居民）工资表-7月'!E:AG,29,0),0)</f>
        <v>244.5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74</v>
      </c>
      <c r="C13" s="37"/>
      <c r="D13" s="37" t="s">
        <v>52</v>
      </c>
      <c r="E13" s="37" t="s">
        <v>84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L13+IFERROR(VLOOKUP($E:$E,'（居民）工资表-7月'!$E:$S,15,0),0)</f>
        <v>36000</v>
      </c>
      <c r="T13" s="91">
        <f>5000+IFERROR(VLOOKUP($E:$E,'（居民）工资表-7月'!$E:$T,16,0),0)</f>
        <v>15000</v>
      </c>
      <c r="U13" s="91">
        <f>Q13+IFERROR(VLOOKUP($E:$E,'（居民）工资表-7月'!$E:$U,17,0),0)</f>
        <v>6300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R13+IFERROR(VLOOKUP($E:$E,'（居民）工资表-7月'!$E:$AC,25,0),0)</f>
        <v>0</v>
      </c>
      <c r="AD13" s="93">
        <f t="shared" si="6"/>
        <v>14700</v>
      </c>
      <c r="AE13" s="94">
        <f>ROUND(MAX((AD13)*{0.03;0.1;0.2;0.25;0.3;0.35;0.45}-{0;2520;16920;31920;52920;85920;181920},0),2)</f>
        <v>441</v>
      </c>
      <c r="AF13" s="95">
        <f>IFERROR(VLOOKUP(E:E,'（居民）工资表-7月'!E:AF,28,0)+VLOOKUP(E:E,'（居民）工资表-7月'!E:AG,29,0),0)</f>
        <v>294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74</v>
      </c>
      <c r="C14" s="37"/>
      <c r="D14" s="37" t="s">
        <v>52</v>
      </c>
      <c r="E14" s="37" t="s">
        <v>85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L14+IFERROR(VLOOKUP($E:$E,'（居民）工资表-7月'!$E:$S,15,0),0)</f>
        <v>39000</v>
      </c>
      <c r="T14" s="91">
        <f>5000+IFERROR(VLOOKUP($E:$E,'（居民）工资表-7月'!$E:$T,16,0),0)</f>
        <v>15000</v>
      </c>
      <c r="U14" s="91">
        <f>Q14+IFERROR(VLOOKUP($E:$E,'（居民）工资表-7月'!$E:$U,17,0),0)</f>
        <v>6825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R14+IFERROR(VLOOKUP($E:$E,'（居民）工资表-7月'!$E:$AC,25,0),0)</f>
        <v>0</v>
      </c>
      <c r="AD14" s="93">
        <f t="shared" si="6"/>
        <v>17175</v>
      </c>
      <c r="AE14" s="94">
        <f>ROUND(MAX((AD14)*{0.03;0.1;0.2;0.25;0.3;0.35;0.45}-{0;2520;16920;31920;52920;85920;181920},0),2)</f>
        <v>515.25</v>
      </c>
      <c r="AF14" s="95">
        <f>IFERROR(VLOOKUP(E:E,'（居民）工资表-7月'!E:AF,28,0)+VLOOKUP(E:E,'（居民）工资表-7月'!E:AG,29,0),0)</f>
        <v>343.5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74</v>
      </c>
      <c r="C15" s="37"/>
      <c r="D15" s="37" t="s">
        <v>52</v>
      </c>
      <c r="E15" s="37" t="s">
        <v>86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L15+IFERROR(VLOOKUP($E:$E,'（居民）工资表-7月'!$E:$S,15,0),0)</f>
        <v>42000</v>
      </c>
      <c r="T15" s="91">
        <f>5000+IFERROR(VLOOKUP($E:$E,'（居民）工资表-7月'!$E:$T,16,0),0)</f>
        <v>15000</v>
      </c>
      <c r="U15" s="91">
        <f>Q15+IFERROR(VLOOKUP($E:$E,'（居民）工资表-7月'!$E:$U,17,0),0)</f>
        <v>7350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R15+IFERROR(VLOOKUP($E:$E,'（居民）工资表-7月'!$E:$AC,25,0),0)</f>
        <v>0</v>
      </c>
      <c r="AD15" s="93">
        <f t="shared" si="6"/>
        <v>19650</v>
      </c>
      <c r="AE15" s="94">
        <f>ROUND(MAX((AD15)*{0.03;0.1;0.2;0.25;0.3;0.35;0.45}-{0;2520;16920;31920;52920;85920;181920},0),2)</f>
        <v>589.5</v>
      </c>
      <c r="AF15" s="95">
        <f>IFERROR(VLOOKUP(E:E,'（居民）工资表-7月'!E:AF,28,0)+VLOOKUP(E:E,'（居民）工资表-7月'!E:AG,29,0),0)</f>
        <v>393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74</v>
      </c>
      <c r="C16" s="37"/>
      <c r="D16" s="37" t="s">
        <v>52</v>
      </c>
      <c r="E16" s="37" t="s">
        <v>87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L16+IFERROR(VLOOKUP($E:$E,'（居民）工资表-7月'!$E:$S,15,0),0)</f>
        <v>45000</v>
      </c>
      <c r="T16" s="91">
        <f>5000+IFERROR(VLOOKUP($E:$E,'（居民）工资表-7月'!$E:$T,16,0),0)</f>
        <v>15000</v>
      </c>
      <c r="U16" s="91">
        <f>Q16+IFERROR(VLOOKUP($E:$E,'（居民）工资表-7月'!$E:$U,17,0),0)</f>
        <v>7875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R16+IFERROR(VLOOKUP($E:$E,'（居民）工资表-7月'!$E:$AC,25,0),0)</f>
        <v>0</v>
      </c>
      <c r="AD16" s="93">
        <f t="shared" si="6"/>
        <v>22125</v>
      </c>
      <c r="AE16" s="94">
        <f>ROUND(MAX((AD16)*{0.03;0.1;0.2;0.25;0.3;0.35;0.45}-{0;2520;16920;31920;52920;85920;181920},0),2)</f>
        <v>663.75</v>
      </c>
      <c r="AF16" s="95">
        <f>IFERROR(VLOOKUP(E:E,'（居民）工资表-7月'!E:AF,28,0)+VLOOKUP(E:E,'（居民）工资表-7月'!E:AG,29,0),0)</f>
        <v>442.5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74</v>
      </c>
      <c r="C17" s="37"/>
      <c r="D17" s="37" t="s">
        <v>52</v>
      </c>
      <c r="E17" s="37" t="s">
        <v>88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L17+IFERROR(VLOOKUP($E:$E,'（居民）工资表-7月'!$E:$S,15,0),0)</f>
        <v>48000</v>
      </c>
      <c r="T17" s="91">
        <f>5000+IFERROR(VLOOKUP($E:$E,'（居民）工资表-7月'!$E:$T,16,0),0)</f>
        <v>15000</v>
      </c>
      <c r="U17" s="91">
        <f>Q17+IFERROR(VLOOKUP($E:$E,'（居民）工资表-7月'!$E:$U,17,0),0)</f>
        <v>8400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R17+IFERROR(VLOOKUP($E:$E,'（居民）工资表-7月'!$E:$AC,25,0),0)</f>
        <v>0</v>
      </c>
      <c r="AD17" s="93">
        <f t="shared" si="6"/>
        <v>24600</v>
      </c>
      <c r="AE17" s="94">
        <f>ROUND(MAX((AD17)*{0.03;0.1;0.2;0.25;0.3;0.35;0.45}-{0;2520;16920;31920;52920;85920;181920},0),2)</f>
        <v>738</v>
      </c>
      <c r="AF17" s="95">
        <f>IFERROR(VLOOKUP(E:E,'（居民）工资表-7月'!E:AF,28,0)+VLOOKUP(E:E,'（居民）工资表-7月'!E:AG,29,0),0)</f>
        <v>492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74</v>
      </c>
      <c r="C18" s="37"/>
      <c r="D18" s="37" t="s">
        <v>52</v>
      </c>
      <c r="E18" s="37" t="s">
        <v>89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L18+IFERROR(VLOOKUP($E:$E,'（居民）工资表-7月'!$E:$S,15,0),0)</f>
        <v>51000</v>
      </c>
      <c r="T18" s="91">
        <f>5000+IFERROR(VLOOKUP($E:$E,'（居民）工资表-7月'!$E:$T,16,0),0)</f>
        <v>15000</v>
      </c>
      <c r="U18" s="91">
        <f>Q18+IFERROR(VLOOKUP($E:$E,'（居民）工资表-7月'!$E:$U,17,0),0)</f>
        <v>8925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R18+IFERROR(VLOOKUP($E:$E,'（居民）工资表-7月'!$E:$AC,25,0),0)</f>
        <v>0</v>
      </c>
      <c r="AD18" s="93">
        <f t="shared" si="6"/>
        <v>27075</v>
      </c>
      <c r="AE18" s="94">
        <f>ROUND(MAX((AD18)*{0.03;0.1;0.2;0.25;0.3;0.35;0.45}-{0;2520;16920;31920;52920;85920;181920},0),2)</f>
        <v>812.25</v>
      </c>
      <c r="AF18" s="95">
        <f>IFERROR(VLOOKUP(E:E,'（居民）工资表-7月'!E:AF,28,0)+VLOOKUP(E:E,'（居民）工资表-7月'!E:AG,29,0),0)</f>
        <v>541.5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74</v>
      </c>
      <c r="C19" s="37"/>
      <c r="D19" s="37" t="s">
        <v>52</v>
      </c>
      <c r="E19" s="37" t="s">
        <v>90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L19+IFERROR(VLOOKUP($E:$E,'（居民）工资表-7月'!$E:$S,15,0),0)</f>
        <v>54000</v>
      </c>
      <c r="T19" s="91">
        <f>5000+IFERROR(VLOOKUP($E:$E,'（居民）工资表-7月'!$E:$T,16,0),0)</f>
        <v>15000</v>
      </c>
      <c r="U19" s="91">
        <f>Q19+IFERROR(VLOOKUP($E:$E,'（居民）工资表-7月'!$E:$U,17,0),0)</f>
        <v>9450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R19+IFERROR(VLOOKUP($E:$E,'（居民）工资表-7月'!$E:$AC,25,0),0)</f>
        <v>0</v>
      </c>
      <c r="AD19" s="93">
        <f t="shared" si="6"/>
        <v>29550</v>
      </c>
      <c r="AE19" s="94">
        <f>ROUND(MAX((AD19)*{0.03;0.1;0.2;0.25;0.3;0.35;0.45}-{0;2520;16920;31920;52920;85920;181920},0),2)</f>
        <v>886.5</v>
      </c>
      <c r="AF19" s="95">
        <f>IFERROR(VLOOKUP(E:E,'（居民）工资表-7月'!E:AF,28,0)+VLOOKUP(E:E,'（居民）工资表-7月'!E:AG,29,0),0)</f>
        <v>591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74</v>
      </c>
      <c r="C20" s="37"/>
      <c r="D20" s="37" t="s">
        <v>52</v>
      </c>
      <c r="E20" s="37" t="s">
        <v>91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L20+IFERROR(VLOOKUP($E:$E,'（居民）工资表-7月'!$E:$S,15,0),0)</f>
        <v>57000</v>
      </c>
      <c r="T20" s="91">
        <f>5000+IFERROR(VLOOKUP($E:$E,'（居民）工资表-7月'!$E:$T,16,0),0)</f>
        <v>15000</v>
      </c>
      <c r="U20" s="91">
        <f>Q20+IFERROR(VLOOKUP($E:$E,'（居民）工资表-7月'!$E:$U,17,0),0)</f>
        <v>9975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R20+IFERROR(VLOOKUP($E:$E,'（居民）工资表-7月'!$E:$AC,25,0),0)</f>
        <v>0</v>
      </c>
      <c r="AD20" s="93">
        <f t="shared" si="6"/>
        <v>32025</v>
      </c>
      <c r="AE20" s="94">
        <f>ROUND(MAX((AD20)*{0.03;0.1;0.2;0.25;0.3;0.35;0.45}-{0;2520;16920;31920;52920;85920;181920},0),2)</f>
        <v>960.75</v>
      </c>
      <c r="AF20" s="95">
        <f>IFERROR(VLOOKUP(E:E,'（居民）工资表-7月'!E:AF,28,0)+VLOOKUP(E:E,'（居民）工资表-7月'!E:AG,29,0),0)</f>
        <v>640.5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74</v>
      </c>
      <c r="C21" s="37"/>
      <c r="D21" s="37" t="s">
        <v>52</v>
      </c>
      <c r="E21" s="37" t="s">
        <v>92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L21+IFERROR(VLOOKUP($E:$E,'（居民）工资表-7月'!$E:$S,15,0),0)</f>
        <v>60000</v>
      </c>
      <c r="T21" s="91">
        <f>5000+IFERROR(VLOOKUP($E:$E,'（居民）工资表-7月'!$E:$T,16,0),0)</f>
        <v>15000</v>
      </c>
      <c r="U21" s="91">
        <f>Q21+IFERROR(VLOOKUP($E:$E,'（居民）工资表-7月'!$E:$U,17,0),0)</f>
        <v>10500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R21+IFERROR(VLOOKUP($E:$E,'（居民）工资表-7月'!$E:$AC,25,0),0)</f>
        <v>0</v>
      </c>
      <c r="AD21" s="93">
        <f t="shared" si="6"/>
        <v>34500</v>
      </c>
      <c r="AE21" s="94">
        <f>ROUND(MAX((AD21)*{0.03;0.1;0.2;0.25;0.3;0.35;0.45}-{0;2520;16920;31920;52920;85920;181920},0),2)</f>
        <v>1035</v>
      </c>
      <c r="AF21" s="95">
        <f>IFERROR(VLOOKUP(E:E,'（居民）工资表-7月'!E:AF,28,0)+VLOOKUP(E:E,'（居民）工资表-7月'!E:AG,29,0),0)</f>
        <v>690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74</v>
      </c>
      <c r="C22" s="37"/>
      <c r="D22" s="37" t="s">
        <v>52</v>
      </c>
      <c r="E22" s="37" t="s">
        <v>93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L22+IFERROR(VLOOKUP($E:$E,'（居民）工资表-7月'!$E:$S,15,0),0)</f>
        <v>63000</v>
      </c>
      <c r="T22" s="91">
        <f>5000+IFERROR(VLOOKUP($E:$E,'（居民）工资表-7月'!$E:$T,16,0),0)</f>
        <v>15000</v>
      </c>
      <c r="U22" s="91">
        <f>Q22+IFERROR(VLOOKUP($E:$E,'（居民）工资表-7月'!$E:$U,17,0),0)</f>
        <v>11025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R22+IFERROR(VLOOKUP($E:$E,'（居民）工资表-7月'!$E:$AC,25,0),0)</f>
        <v>0</v>
      </c>
      <c r="AD22" s="93">
        <f t="shared" si="6"/>
        <v>36975</v>
      </c>
      <c r="AE22" s="94">
        <f>ROUND(MAX((AD22)*{0.03;0.1;0.2;0.25;0.3;0.35;0.45}-{0;2520;16920;31920;52920;85920;181920},0),2)</f>
        <v>1177.5</v>
      </c>
      <c r="AF22" s="95">
        <f>IFERROR(VLOOKUP(E:E,'（居民）工资表-7月'!E:AF,28,0)+VLOOKUP(E:E,'（居民）工资表-7月'!E:AG,29,0),0)</f>
        <v>739.5</v>
      </c>
      <c r="AG22" s="95">
        <f t="shared" si="7"/>
        <v>438</v>
      </c>
      <c r="AH22" s="102">
        <f t="shared" si="8"/>
        <v>16887</v>
      </c>
      <c r="AI22" s="103"/>
      <c r="AJ22" s="102">
        <f t="shared" si="9"/>
        <v>16887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74</v>
      </c>
      <c r="C23" s="37"/>
      <c r="D23" s="37" t="s">
        <v>52</v>
      </c>
      <c r="E23" s="37" t="s">
        <v>94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L23+IFERROR(VLOOKUP($E:$E,'（居民）工资表-7月'!$E:$S,15,0),0)</f>
        <v>66000</v>
      </c>
      <c r="T23" s="91">
        <f>5000+IFERROR(VLOOKUP($E:$E,'（居民）工资表-7月'!$E:$T,16,0),0)</f>
        <v>15000</v>
      </c>
      <c r="U23" s="91">
        <f>Q23+IFERROR(VLOOKUP($E:$E,'（居民）工资表-7月'!$E:$U,17,0),0)</f>
        <v>11550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R23+IFERROR(VLOOKUP($E:$E,'（居民）工资表-7月'!$E:$AC,25,0),0)</f>
        <v>0</v>
      </c>
      <c r="AD23" s="93">
        <f t="shared" si="6"/>
        <v>39450</v>
      </c>
      <c r="AE23" s="94">
        <f>ROUND(MAX((AD23)*{0.03;0.1;0.2;0.25;0.3;0.35;0.45}-{0;2520;16920;31920;52920;85920;181920},0),2)</f>
        <v>1425</v>
      </c>
      <c r="AF23" s="95">
        <f>IFERROR(VLOOKUP(E:E,'（居民）工资表-7月'!E:AF,28,0)+VLOOKUP(E:E,'（居民）工资表-7月'!E:AG,29,0),0)</f>
        <v>789</v>
      </c>
      <c r="AG23" s="95">
        <f t="shared" si="7"/>
        <v>636</v>
      </c>
      <c r="AH23" s="102">
        <f t="shared" si="8"/>
        <v>17514</v>
      </c>
      <c r="AI23" s="103"/>
      <c r="AJ23" s="102">
        <f t="shared" si="9"/>
        <v>17514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61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750000</v>
      </c>
      <c r="T24" s="74">
        <f t="shared" si="12"/>
        <v>300000</v>
      </c>
      <c r="U24" s="74">
        <f t="shared" si="12"/>
        <v>131250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318750</v>
      </c>
      <c r="AE24" s="74">
        <f t="shared" si="12"/>
        <v>10335.75</v>
      </c>
      <c r="AF24" s="74">
        <f t="shared" si="12"/>
        <v>6684</v>
      </c>
      <c r="AG24" s="74">
        <f t="shared" si="12"/>
        <v>3651.75</v>
      </c>
      <c r="AH24" s="74">
        <f t="shared" si="12"/>
        <v>202598.25</v>
      </c>
      <c r="AI24" s="105">
        <f t="shared" si="12"/>
        <v>0</v>
      </c>
      <c r="AJ24" s="74">
        <f t="shared" si="12"/>
        <v>202598.25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62</v>
      </c>
      <c r="D28" s="47" t="s">
        <v>30</v>
      </c>
      <c r="E28" s="47" t="s">
        <v>63</v>
      </c>
      <c r="AD28" s="10"/>
    </row>
    <row r="29" ht="18.75" customHeight="1" spans="2:5">
      <c r="B29" s="48">
        <f>AJ24</f>
        <v>202598.25</v>
      </c>
      <c r="C29" s="48">
        <f>AG24</f>
        <v>3651.75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64</v>
      </c>
      <c r="B31" s="51" t="s">
        <v>65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66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67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68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69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70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71</v>
      </c>
    </row>
    <row r="39" spans="2:2">
      <c r="B39" s="59" t="s">
        <v>72</v>
      </c>
    </row>
    <row r="40" spans="2:2">
      <c r="B40" s="59" t="s">
        <v>73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74</v>
      </c>
      <c r="C4" s="37"/>
      <c r="D4" s="37" t="s">
        <v>52</v>
      </c>
      <c r="E4" s="37" t="s">
        <v>75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L4+IFERROR(VLOOKUP($E:$E,'（居民）工资表-8月'!$E:$S,15,0),0)</f>
        <v>12000</v>
      </c>
      <c r="T4" s="91">
        <f>5000+IFERROR(VLOOKUP($E:$E,'（居民）工资表-8月'!$E:$T,16,0),0)</f>
        <v>20000</v>
      </c>
      <c r="U4" s="91">
        <f>Q4+IFERROR(VLOOKUP($E:$E,'（居民）工资表-8月'!$E:$U,17,0),0)</f>
        <v>2100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3">
        <f>ROUND(S4-T4-U4-AB4-AC4,2)</f>
        <v>-10100</v>
      </c>
      <c r="AE4" s="94">
        <f>ROUND(MAX((AD4)*{0.03;0.1;0.2;0.25;0.3;0.35;0.45}-{0;2520;16920;31920;52920;85920;181920},0),2)</f>
        <v>0</v>
      </c>
      <c r="AF4" s="95">
        <f>IFERROR(VLOOKUP(E:E,'（居民）工资表-8月'!E:AF,28,0)+VLOOKUP(E:E,'（居民）工资表-8月'!E:AG,29,0),0)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74</v>
      </c>
      <c r="C5" s="37"/>
      <c r="D5" s="37" t="s">
        <v>52</v>
      </c>
      <c r="E5" s="37" t="s">
        <v>76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L5+IFERROR(VLOOKUP($E:$E,'（居民）工资表-8月'!$E:$S,15,0),0)</f>
        <v>16000</v>
      </c>
      <c r="T5" s="91">
        <f>5000+IFERROR(VLOOKUP($E:$E,'（居民）工资表-8月'!$E:$T,16,0),0)</f>
        <v>20000</v>
      </c>
      <c r="U5" s="91">
        <f>Q5+IFERROR(VLOOKUP($E:$E,'（居民）工资表-8月'!$E:$U,17,0),0)</f>
        <v>2800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R5+IFERROR(VLOOKUP($E:$E,'（居民）工资表-8月'!$E:$AC,25,0),0)</f>
        <v>0</v>
      </c>
      <c r="AD5" s="93">
        <f t="shared" ref="AD5:AD23" si="6">ROUND(S5-T5-U5-AB5-AC5,2)</f>
        <v>-6800</v>
      </c>
      <c r="AE5" s="94">
        <f>ROUND(MAX((AD5)*{0.03;0.1;0.2;0.25;0.3;0.35;0.45}-{0;2520;16920;31920;52920;85920;181920},0),2)</f>
        <v>0</v>
      </c>
      <c r="AF5" s="95">
        <f>IFERROR(VLOOKUP(E:E,'（居民）工资表-8月'!E:AF,28,0)+VLOOKUP(E:E,'（居民）工资表-8月'!E:AG,29,0),0)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74</v>
      </c>
      <c r="C6" s="37"/>
      <c r="D6" s="37" t="s">
        <v>52</v>
      </c>
      <c r="E6" s="37" t="s">
        <v>77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L6+IFERROR(VLOOKUP($E:$E,'（居民）工资表-8月'!$E:$S,15,0),0)</f>
        <v>20000</v>
      </c>
      <c r="T6" s="91">
        <f>5000+IFERROR(VLOOKUP($E:$E,'（居民）工资表-8月'!$E:$T,16,0),0)</f>
        <v>20000</v>
      </c>
      <c r="U6" s="91">
        <f>Q6+IFERROR(VLOOKUP($E:$E,'（居民）工资表-8月'!$E:$U,17,0),0)</f>
        <v>3500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R6+IFERROR(VLOOKUP($E:$E,'（居民）工资表-8月'!$E:$AC,25,0),0)</f>
        <v>0</v>
      </c>
      <c r="AD6" s="93">
        <f t="shared" si="6"/>
        <v>-3500</v>
      </c>
      <c r="AE6" s="94">
        <f>ROUND(MAX((AD6)*{0.03;0.1;0.2;0.25;0.3;0.35;0.45}-{0;2520;16920;31920;52920;85920;181920},0),2)</f>
        <v>0</v>
      </c>
      <c r="AF6" s="95">
        <f>IFERROR(VLOOKUP(E:E,'（居民）工资表-8月'!E:AF,28,0)+VLOOKUP(E:E,'（居民）工资表-8月'!E:AG,29,0),0)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74</v>
      </c>
      <c r="C7" s="37"/>
      <c r="D7" s="37" t="s">
        <v>52</v>
      </c>
      <c r="E7" s="37" t="s">
        <v>78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L7+IFERROR(VLOOKUP($E:$E,'（居民）工资表-8月'!$E:$S,15,0),0)</f>
        <v>24000</v>
      </c>
      <c r="T7" s="91">
        <f>5000+IFERROR(VLOOKUP($E:$E,'（居民）工资表-8月'!$E:$T,16,0),0)</f>
        <v>20000</v>
      </c>
      <c r="U7" s="91">
        <f>Q7+IFERROR(VLOOKUP($E:$E,'（居民）工资表-8月'!$E:$U,17,0),0)</f>
        <v>4200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R7+IFERROR(VLOOKUP($E:$E,'（居民）工资表-8月'!$E:$AC,25,0),0)</f>
        <v>0</v>
      </c>
      <c r="AD7" s="93">
        <f t="shared" si="6"/>
        <v>-200</v>
      </c>
      <c r="AE7" s="94">
        <f>ROUND(MAX((AD7)*{0.03;0.1;0.2;0.25;0.3;0.35;0.45}-{0;2520;16920;31920;52920;85920;181920},0),2)</f>
        <v>0</v>
      </c>
      <c r="AF7" s="95">
        <f>IFERROR(VLOOKUP(E:E,'（居民）工资表-8月'!E:AF,28,0)+VLOOKUP(E:E,'（居民）工资表-8月'!E:AG,29,0),0)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74</v>
      </c>
      <c r="C8" s="37"/>
      <c r="D8" s="37" t="s">
        <v>52</v>
      </c>
      <c r="E8" s="37" t="s">
        <v>79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L8+IFERROR(VLOOKUP($E:$E,'（居民）工资表-8月'!$E:$S,15,0),0)</f>
        <v>28000</v>
      </c>
      <c r="T8" s="91">
        <f>5000+IFERROR(VLOOKUP($E:$E,'（居民）工资表-8月'!$E:$T,16,0),0)</f>
        <v>20000</v>
      </c>
      <c r="U8" s="91">
        <f>Q8+IFERROR(VLOOKUP($E:$E,'（居民）工资表-8月'!$E:$U,17,0),0)</f>
        <v>4900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R8+IFERROR(VLOOKUP($E:$E,'（居民）工资表-8月'!$E:$AC,25,0),0)</f>
        <v>0</v>
      </c>
      <c r="AD8" s="93">
        <f t="shared" si="6"/>
        <v>3100</v>
      </c>
      <c r="AE8" s="94">
        <f>ROUND(MAX((AD8)*{0.03;0.1;0.2;0.25;0.3;0.35;0.45}-{0;2520;16920;31920;52920;85920;181920},0),2)</f>
        <v>93</v>
      </c>
      <c r="AF8" s="95">
        <f>IFERROR(VLOOKUP(E:E,'（居民）工资表-8月'!E:AF,28,0)+VLOOKUP(E:E,'（居民）工资表-8月'!E:AG,29,0),0)</f>
        <v>69.75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74</v>
      </c>
      <c r="C9" s="37"/>
      <c r="D9" s="37" t="s">
        <v>52</v>
      </c>
      <c r="E9" s="37" t="s">
        <v>80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L9+IFERROR(VLOOKUP($E:$E,'（居民）工资表-8月'!$E:$S,15,0),0)</f>
        <v>32000</v>
      </c>
      <c r="T9" s="91">
        <f>5000+IFERROR(VLOOKUP($E:$E,'（居民）工资表-8月'!$E:$T,16,0),0)</f>
        <v>20000</v>
      </c>
      <c r="U9" s="91">
        <f>Q9+IFERROR(VLOOKUP($E:$E,'（居民）工资表-8月'!$E:$U,17,0),0)</f>
        <v>5600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R9+IFERROR(VLOOKUP($E:$E,'（居民）工资表-8月'!$E:$AC,25,0),0)</f>
        <v>0</v>
      </c>
      <c r="AD9" s="93">
        <f t="shared" si="6"/>
        <v>6400</v>
      </c>
      <c r="AE9" s="94">
        <f>ROUND(MAX((AD9)*{0.03;0.1;0.2;0.25;0.3;0.35;0.45}-{0;2520;16920;31920;52920;85920;181920},0),2)</f>
        <v>192</v>
      </c>
      <c r="AF9" s="95">
        <f>IFERROR(VLOOKUP(E:E,'（居民）工资表-8月'!E:AF,28,0)+VLOOKUP(E:E,'（居民）工资表-8月'!E:AG,29,0),0)</f>
        <v>144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74</v>
      </c>
      <c r="C10" s="37"/>
      <c r="D10" s="37" t="s">
        <v>52</v>
      </c>
      <c r="E10" s="37" t="s">
        <v>81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L10+IFERROR(VLOOKUP($E:$E,'（居民）工资表-8月'!$E:$S,15,0),0)</f>
        <v>36000</v>
      </c>
      <c r="T10" s="91">
        <f>5000+IFERROR(VLOOKUP($E:$E,'（居民）工资表-8月'!$E:$T,16,0),0)</f>
        <v>20000</v>
      </c>
      <c r="U10" s="91">
        <f>Q10+IFERROR(VLOOKUP($E:$E,'（居民）工资表-8月'!$E:$U,17,0),0)</f>
        <v>6300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R10+IFERROR(VLOOKUP($E:$E,'（居民）工资表-8月'!$E:$AC,25,0),0)</f>
        <v>0</v>
      </c>
      <c r="AD10" s="93">
        <f t="shared" si="6"/>
        <v>9700</v>
      </c>
      <c r="AE10" s="94">
        <f>ROUND(MAX((AD10)*{0.03;0.1;0.2;0.25;0.3;0.35;0.45}-{0;2520;16920;31920;52920;85920;181920},0),2)</f>
        <v>291</v>
      </c>
      <c r="AF10" s="95">
        <f>IFERROR(VLOOKUP(E:E,'（居民）工资表-8月'!E:AF,28,0)+VLOOKUP(E:E,'（居民）工资表-8月'!E:AG,29,0),0)</f>
        <v>218.25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74</v>
      </c>
      <c r="C11" s="37"/>
      <c r="D11" s="37" t="s">
        <v>52</v>
      </c>
      <c r="E11" s="37" t="s">
        <v>82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L11+IFERROR(VLOOKUP($E:$E,'（居民）工资表-8月'!$E:$S,15,0),0)</f>
        <v>40000</v>
      </c>
      <c r="T11" s="91">
        <f>5000+IFERROR(VLOOKUP($E:$E,'（居民）工资表-8月'!$E:$T,16,0),0)</f>
        <v>20000</v>
      </c>
      <c r="U11" s="91">
        <f>Q11+IFERROR(VLOOKUP($E:$E,'（居民）工资表-8月'!$E:$U,17,0),0)</f>
        <v>7000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R11+IFERROR(VLOOKUP($E:$E,'（居民）工资表-8月'!$E:$AC,25,0),0)</f>
        <v>0</v>
      </c>
      <c r="AD11" s="93">
        <f t="shared" si="6"/>
        <v>13000</v>
      </c>
      <c r="AE11" s="94">
        <f>ROUND(MAX((AD11)*{0.03;0.1;0.2;0.25;0.3;0.35;0.45}-{0;2520;16920;31920;52920;85920;181920},0),2)</f>
        <v>390</v>
      </c>
      <c r="AF11" s="95">
        <f>IFERROR(VLOOKUP(E:E,'（居民）工资表-8月'!E:AF,28,0)+VLOOKUP(E:E,'（居民）工资表-8月'!E:AG,29,0),0)</f>
        <v>292.5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74</v>
      </c>
      <c r="C12" s="37"/>
      <c r="D12" s="37" t="s">
        <v>52</v>
      </c>
      <c r="E12" s="37" t="s">
        <v>83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L12+IFERROR(VLOOKUP($E:$E,'（居民）工资表-8月'!$E:$S,15,0),0)</f>
        <v>44000</v>
      </c>
      <c r="T12" s="91">
        <f>5000+IFERROR(VLOOKUP($E:$E,'（居民）工资表-8月'!$E:$T,16,0),0)</f>
        <v>20000</v>
      </c>
      <c r="U12" s="91">
        <f>Q12+IFERROR(VLOOKUP($E:$E,'（居民）工资表-8月'!$E:$U,17,0),0)</f>
        <v>7700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R12+IFERROR(VLOOKUP($E:$E,'（居民）工资表-8月'!$E:$AC,25,0),0)</f>
        <v>0</v>
      </c>
      <c r="AD12" s="93">
        <f t="shared" si="6"/>
        <v>16300</v>
      </c>
      <c r="AE12" s="94">
        <f>ROUND(MAX((AD12)*{0.03;0.1;0.2;0.25;0.3;0.35;0.45}-{0;2520;16920;31920;52920;85920;181920},0),2)</f>
        <v>489</v>
      </c>
      <c r="AF12" s="95">
        <f>IFERROR(VLOOKUP(E:E,'（居民）工资表-8月'!E:AF,28,0)+VLOOKUP(E:E,'（居民）工资表-8月'!E:AG,29,0),0)</f>
        <v>366.75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74</v>
      </c>
      <c r="C13" s="37"/>
      <c r="D13" s="37" t="s">
        <v>52</v>
      </c>
      <c r="E13" s="37" t="s">
        <v>84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L13+IFERROR(VLOOKUP($E:$E,'（居民）工资表-8月'!$E:$S,15,0),0)</f>
        <v>48000</v>
      </c>
      <c r="T13" s="91">
        <f>5000+IFERROR(VLOOKUP($E:$E,'（居民）工资表-8月'!$E:$T,16,0),0)</f>
        <v>20000</v>
      </c>
      <c r="U13" s="91">
        <f>Q13+IFERROR(VLOOKUP($E:$E,'（居民）工资表-8月'!$E:$U,17,0),0)</f>
        <v>8400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R13+IFERROR(VLOOKUP($E:$E,'（居民）工资表-8月'!$E:$AC,25,0),0)</f>
        <v>0</v>
      </c>
      <c r="AD13" s="93">
        <f t="shared" si="6"/>
        <v>19600</v>
      </c>
      <c r="AE13" s="94">
        <f>ROUND(MAX((AD13)*{0.03;0.1;0.2;0.25;0.3;0.35;0.45}-{0;2520;16920;31920;52920;85920;181920},0),2)</f>
        <v>588</v>
      </c>
      <c r="AF13" s="95">
        <f>IFERROR(VLOOKUP(E:E,'（居民）工资表-8月'!E:AF,28,0)+VLOOKUP(E:E,'（居民）工资表-8月'!E:AG,29,0),0)</f>
        <v>441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74</v>
      </c>
      <c r="C14" s="37"/>
      <c r="D14" s="37" t="s">
        <v>52</v>
      </c>
      <c r="E14" s="37" t="s">
        <v>85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L14+IFERROR(VLOOKUP($E:$E,'（居民）工资表-8月'!$E:$S,15,0),0)</f>
        <v>52000</v>
      </c>
      <c r="T14" s="91">
        <f>5000+IFERROR(VLOOKUP($E:$E,'（居民）工资表-8月'!$E:$T,16,0),0)</f>
        <v>20000</v>
      </c>
      <c r="U14" s="91">
        <f>Q14+IFERROR(VLOOKUP($E:$E,'（居民）工资表-8月'!$E:$U,17,0),0)</f>
        <v>9100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R14+IFERROR(VLOOKUP($E:$E,'（居民）工资表-8月'!$E:$AC,25,0),0)</f>
        <v>0</v>
      </c>
      <c r="AD14" s="93">
        <f t="shared" si="6"/>
        <v>22900</v>
      </c>
      <c r="AE14" s="94">
        <f>ROUND(MAX((AD14)*{0.03;0.1;0.2;0.25;0.3;0.35;0.45}-{0;2520;16920;31920;52920;85920;181920},0),2)</f>
        <v>687</v>
      </c>
      <c r="AF14" s="95">
        <f>IFERROR(VLOOKUP(E:E,'（居民）工资表-8月'!E:AF,28,0)+VLOOKUP(E:E,'（居民）工资表-8月'!E:AG,29,0),0)</f>
        <v>515.25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74</v>
      </c>
      <c r="C15" s="37"/>
      <c r="D15" s="37" t="s">
        <v>52</v>
      </c>
      <c r="E15" s="37" t="s">
        <v>86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L15+IFERROR(VLOOKUP($E:$E,'（居民）工资表-8月'!$E:$S,15,0),0)</f>
        <v>56000</v>
      </c>
      <c r="T15" s="91">
        <f>5000+IFERROR(VLOOKUP($E:$E,'（居民）工资表-8月'!$E:$T,16,0),0)</f>
        <v>20000</v>
      </c>
      <c r="U15" s="91">
        <f>Q15+IFERROR(VLOOKUP($E:$E,'（居民）工资表-8月'!$E:$U,17,0),0)</f>
        <v>9800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R15+IFERROR(VLOOKUP($E:$E,'（居民）工资表-8月'!$E:$AC,25,0),0)</f>
        <v>0</v>
      </c>
      <c r="AD15" s="93">
        <f t="shared" si="6"/>
        <v>26200</v>
      </c>
      <c r="AE15" s="94">
        <f>ROUND(MAX((AD15)*{0.03;0.1;0.2;0.25;0.3;0.35;0.45}-{0;2520;16920;31920;52920;85920;181920},0),2)</f>
        <v>786</v>
      </c>
      <c r="AF15" s="95">
        <f>IFERROR(VLOOKUP(E:E,'（居民）工资表-8月'!E:AF,28,0)+VLOOKUP(E:E,'（居民）工资表-8月'!E:AG,29,0),0)</f>
        <v>589.5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74</v>
      </c>
      <c r="C16" s="37"/>
      <c r="D16" s="37" t="s">
        <v>52</v>
      </c>
      <c r="E16" s="37" t="s">
        <v>87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L16+IFERROR(VLOOKUP($E:$E,'（居民）工资表-8月'!$E:$S,15,0),0)</f>
        <v>60000</v>
      </c>
      <c r="T16" s="91">
        <f>5000+IFERROR(VLOOKUP($E:$E,'（居民）工资表-8月'!$E:$T,16,0),0)</f>
        <v>20000</v>
      </c>
      <c r="U16" s="91">
        <f>Q16+IFERROR(VLOOKUP($E:$E,'（居民）工资表-8月'!$E:$U,17,0),0)</f>
        <v>10500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R16+IFERROR(VLOOKUP($E:$E,'（居民）工资表-8月'!$E:$AC,25,0),0)</f>
        <v>0</v>
      </c>
      <c r="AD16" s="93">
        <f t="shared" si="6"/>
        <v>29500</v>
      </c>
      <c r="AE16" s="94">
        <f>ROUND(MAX((AD16)*{0.03;0.1;0.2;0.25;0.3;0.35;0.45}-{0;2520;16920;31920;52920;85920;181920},0),2)</f>
        <v>885</v>
      </c>
      <c r="AF16" s="95">
        <f>IFERROR(VLOOKUP(E:E,'（居民）工资表-8月'!E:AF,28,0)+VLOOKUP(E:E,'（居民）工资表-8月'!E:AG,29,0),0)</f>
        <v>663.75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74</v>
      </c>
      <c r="C17" s="37"/>
      <c r="D17" s="37" t="s">
        <v>52</v>
      </c>
      <c r="E17" s="37" t="s">
        <v>88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L17+IFERROR(VLOOKUP($E:$E,'（居民）工资表-8月'!$E:$S,15,0),0)</f>
        <v>64000</v>
      </c>
      <c r="T17" s="91">
        <f>5000+IFERROR(VLOOKUP($E:$E,'（居民）工资表-8月'!$E:$T,16,0),0)</f>
        <v>20000</v>
      </c>
      <c r="U17" s="91">
        <f>Q17+IFERROR(VLOOKUP($E:$E,'（居民）工资表-8月'!$E:$U,17,0),0)</f>
        <v>11200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R17+IFERROR(VLOOKUP($E:$E,'（居民）工资表-8月'!$E:$AC,25,0),0)</f>
        <v>0</v>
      </c>
      <c r="AD17" s="93">
        <f t="shared" si="6"/>
        <v>32800</v>
      </c>
      <c r="AE17" s="94">
        <f>ROUND(MAX((AD17)*{0.03;0.1;0.2;0.25;0.3;0.35;0.45}-{0;2520;16920;31920;52920;85920;181920},0),2)</f>
        <v>984</v>
      </c>
      <c r="AF17" s="95">
        <f>IFERROR(VLOOKUP(E:E,'（居民）工资表-8月'!E:AF,28,0)+VLOOKUP(E:E,'（居民）工资表-8月'!E:AG,29,0),0)</f>
        <v>738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74</v>
      </c>
      <c r="C18" s="37"/>
      <c r="D18" s="37" t="s">
        <v>52</v>
      </c>
      <c r="E18" s="37" t="s">
        <v>89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L18+IFERROR(VLOOKUP($E:$E,'（居民）工资表-8月'!$E:$S,15,0),0)</f>
        <v>68000</v>
      </c>
      <c r="T18" s="91">
        <f>5000+IFERROR(VLOOKUP($E:$E,'（居民）工资表-8月'!$E:$T,16,0),0)</f>
        <v>20000</v>
      </c>
      <c r="U18" s="91">
        <f>Q18+IFERROR(VLOOKUP($E:$E,'（居民）工资表-8月'!$E:$U,17,0),0)</f>
        <v>11900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R18+IFERROR(VLOOKUP($E:$E,'（居民）工资表-8月'!$E:$AC,25,0),0)</f>
        <v>0</v>
      </c>
      <c r="AD18" s="93">
        <f t="shared" si="6"/>
        <v>36100</v>
      </c>
      <c r="AE18" s="94">
        <f>ROUND(MAX((AD18)*{0.03;0.1;0.2;0.25;0.3;0.35;0.45}-{0;2520;16920;31920;52920;85920;181920},0),2)</f>
        <v>1090</v>
      </c>
      <c r="AF18" s="95">
        <f>IFERROR(VLOOKUP(E:E,'（居民）工资表-8月'!E:AF,28,0)+VLOOKUP(E:E,'（居民）工资表-8月'!E:AG,29,0),0)</f>
        <v>812.25</v>
      </c>
      <c r="AG18" s="95">
        <f t="shared" si="7"/>
        <v>277.75</v>
      </c>
      <c r="AH18" s="102">
        <f t="shared" si="8"/>
        <v>13747.25</v>
      </c>
      <c r="AI18" s="103"/>
      <c r="AJ18" s="102">
        <f t="shared" si="9"/>
        <v>13747.25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74</v>
      </c>
      <c r="C19" s="37"/>
      <c r="D19" s="37" t="s">
        <v>52</v>
      </c>
      <c r="E19" s="37" t="s">
        <v>90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L19+IFERROR(VLOOKUP($E:$E,'（居民）工资表-8月'!$E:$S,15,0),0)</f>
        <v>72000</v>
      </c>
      <c r="T19" s="91">
        <f>5000+IFERROR(VLOOKUP($E:$E,'（居民）工资表-8月'!$E:$T,16,0),0)</f>
        <v>20000</v>
      </c>
      <c r="U19" s="91">
        <f>Q19+IFERROR(VLOOKUP($E:$E,'（居民）工资表-8月'!$E:$U,17,0),0)</f>
        <v>12600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R19+IFERROR(VLOOKUP($E:$E,'（居民）工资表-8月'!$E:$AC,25,0),0)</f>
        <v>0</v>
      </c>
      <c r="AD19" s="93">
        <f t="shared" si="6"/>
        <v>39400</v>
      </c>
      <c r="AE19" s="94">
        <f>ROUND(MAX((AD19)*{0.03;0.1;0.2;0.25;0.3;0.35;0.45}-{0;2520;16920;31920;52920;85920;181920},0),2)</f>
        <v>1420</v>
      </c>
      <c r="AF19" s="95">
        <f>IFERROR(VLOOKUP(E:E,'（居民）工资表-8月'!E:AF,28,0)+VLOOKUP(E:E,'（居民）工资表-8月'!E:AG,29,0),0)</f>
        <v>886.5</v>
      </c>
      <c r="AG19" s="95">
        <f t="shared" si="7"/>
        <v>533.5</v>
      </c>
      <c r="AH19" s="102">
        <f t="shared" si="8"/>
        <v>14316.5</v>
      </c>
      <c r="AI19" s="103"/>
      <c r="AJ19" s="102">
        <f t="shared" si="9"/>
        <v>14316.5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74</v>
      </c>
      <c r="C20" s="37"/>
      <c r="D20" s="37" t="s">
        <v>52</v>
      </c>
      <c r="E20" s="37" t="s">
        <v>91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L20+IFERROR(VLOOKUP($E:$E,'（居民）工资表-8月'!$E:$S,15,0),0)</f>
        <v>76000</v>
      </c>
      <c r="T20" s="91">
        <f>5000+IFERROR(VLOOKUP($E:$E,'（居民）工资表-8月'!$E:$T,16,0),0)</f>
        <v>20000</v>
      </c>
      <c r="U20" s="91">
        <f>Q20+IFERROR(VLOOKUP($E:$E,'（居民）工资表-8月'!$E:$U,17,0),0)</f>
        <v>13300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R20+IFERROR(VLOOKUP($E:$E,'（居民）工资表-8月'!$E:$AC,25,0),0)</f>
        <v>0</v>
      </c>
      <c r="AD20" s="93">
        <f t="shared" si="6"/>
        <v>42700</v>
      </c>
      <c r="AE20" s="94">
        <f>ROUND(MAX((AD20)*{0.03;0.1;0.2;0.25;0.3;0.35;0.45}-{0;2520;16920;31920;52920;85920;181920},0),2)</f>
        <v>1750</v>
      </c>
      <c r="AF20" s="95">
        <f>IFERROR(VLOOKUP(E:E,'（居民）工资表-8月'!E:AF,28,0)+VLOOKUP(E:E,'（居民）工资表-8月'!E:AG,29,0),0)</f>
        <v>960.75</v>
      </c>
      <c r="AG20" s="95">
        <f t="shared" si="7"/>
        <v>789.25</v>
      </c>
      <c r="AH20" s="102">
        <f t="shared" si="8"/>
        <v>14885.75</v>
      </c>
      <c r="AI20" s="103"/>
      <c r="AJ20" s="102">
        <f t="shared" si="9"/>
        <v>14885.75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74</v>
      </c>
      <c r="C21" s="37"/>
      <c r="D21" s="37" t="s">
        <v>52</v>
      </c>
      <c r="E21" s="37" t="s">
        <v>92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L21+IFERROR(VLOOKUP($E:$E,'（居民）工资表-8月'!$E:$S,15,0),0)</f>
        <v>80000</v>
      </c>
      <c r="T21" s="91">
        <f>5000+IFERROR(VLOOKUP($E:$E,'（居民）工资表-8月'!$E:$T,16,0),0)</f>
        <v>20000</v>
      </c>
      <c r="U21" s="91">
        <f>Q21+IFERROR(VLOOKUP($E:$E,'（居民）工资表-8月'!$E:$U,17,0),0)</f>
        <v>14000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R21+IFERROR(VLOOKUP($E:$E,'（居民）工资表-8月'!$E:$AC,25,0),0)</f>
        <v>0</v>
      </c>
      <c r="AD21" s="93">
        <f t="shared" si="6"/>
        <v>46000</v>
      </c>
      <c r="AE21" s="94">
        <f>ROUND(MAX((AD21)*{0.03;0.1;0.2;0.25;0.3;0.35;0.45}-{0;2520;16920;31920;52920;85920;181920},0),2)</f>
        <v>2080</v>
      </c>
      <c r="AF21" s="95">
        <f>IFERROR(VLOOKUP(E:E,'（居民）工资表-8月'!E:AF,28,0)+VLOOKUP(E:E,'（居民）工资表-8月'!E:AG,29,0),0)</f>
        <v>1035</v>
      </c>
      <c r="AG21" s="95">
        <f t="shared" si="7"/>
        <v>1045</v>
      </c>
      <c r="AH21" s="102">
        <f t="shared" si="8"/>
        <v>15455</v>
      </c>
      <c r="AI21" s="103"/>
      <c r="AJ21" s="102">
        <f t="shared" si="9"/>
        <v>15455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74</v>
      </c>
      <c r="C22" s="37"/>
      <c r="D22" s="37" t="s">
        <v>52</v>
      </c>
      <c r="E22" s="37" t="s">
        <v>93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L22+IFERROR(VLOOKUP($E:$E,'（居民）工资表-8月'!$E:$S,15,0),0)</f>
        <v>84000</v>
      </c>
      <c r="T22" s="91">
        <f>5000+IFERROR(VLOOKUP($E:$E,'（居民）工资表-8月'!$E:$T,16,0),0)</f>
        <v>20000</v>
      </c>
      <c r="U22" s="91">
        <f>Q22+IFERROR(VLOOKUP($E:$E,'（居民）工资表-8月'!$E:$U,17,0),0)</f>
        <v>14700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R22+IFERROR(VLOOKUP($E:$E,'（居民）工资表-8月'!$E:$AC,25,0),0)</f>
        <v>0</v>
      </c>
      <c r="AD22" s="93">
        <f t="shared" si="6"/>
        <v>49300</v>
      </c>
      <c r="AE22" s="94">
        <f>ROUND(MAX((AD22)*{0.03;0.1;0.2;0.25;0.3;0.35;0.45}-{0;2520;16920;31920;52920;85920;181920},0),2)</f>
        <v>2410</v>
      </c>
      <c r="AF22" s="95">
        <f>IFERROR(VLOOKUP(E:E,'（居民）工资表-8月'!E:AF,28,0)+VLOOKUP(E:E,'（居民）工资表-8月'!E:AG,29,0),0)</f>
        <v>1177.5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74</v>
      </c>
      <c r="C23" s="37"/>
      <c r="D23" s="37" t="s">
        <v>52</v>
      </c>
      <c r="E23" s="37" t="s">
        <v>94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L23+IFERROR(VLOOKUP($E:$E,'（居民）工资表-8月'!$E:$S,15,0),0)</f>
        <v>88000</v>
      </c>
      <c r="T23" s="91">
        <f>5000+IFERROR(VLOOKUP($E:$E,'（居民）工资表-8月'!$E:$T,16,0),0)</f>
        <v>20000</v>
      </c>
      <c r="U23" s="91">
        <f>Q23+IFERROR(VLOOKUP($E:$E,'（居民）工资表-8月'!$E:$U,17,0),0)</f>
        <v>15400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R23+IFERROR(VLOOKUP($E:$E,'（居民）工资表-8月'!$E:$AC,25,0),0)</f>
        <v>0</v>
      </c>
      <c r="AD23" s="93">
        <f t="shared" si="6"/>
        <v>52600</v>
      </c>
      <c r="AE23" s="94">
        <f>ROUND(MAX((AD23)*{0.03;0.1;0.2;0.25;0.3;0.35;0.45}-{0;2520;16920;31920;52920;85920;181920},0),2)</f>
        <v>2740</v>
      </c>
      <c r="AF23" s="95">
        <f>IFERROR(VLOOKUP(E:E,'（居民）工资表-8月'!E:AF,28,0)+VLOOKUP(E:E,'（居民）工资表-8月'!E:AG,29,0),0)</f>
        <v>1425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61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1000000</v>
      </c>
      <c r="T24" s="74">
        <f t="shared" si="12"/>
        <v>400000</v>
      </c>
      <c r="U24" s="74">
        <f t="shared" si="12"/>
        <v>175000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425000</v>
      </c>
      <c r="AE24" s="74">
        <f t="shared" si="12"/>
        <v>16875</v>
      </c>
      <c r="AF24" s="74">
        <f t="shared" si="12"/>
        <v>10335.75</v>
      </c>
      <c r="AG24" s="74">
        <f t="shared" si="12"/>
        <v>6539.25</v>
      </c>
      <c r="AH24" s="74">
        <f t="shared" si="12"/>
        <v>199710.75</v>
      </c>
      <c r="AI24" s="105">
        <f t="shared" si="12"/>
        <v>0</v>
      </c>
      <c r="AJ24" s="74">
        <f t="shared" si="12"/>
        <v>199710.75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62</v>
      </c>
      <c r="D28" s="47" t="s">
        <v>30</v>
      </c>
      <c r="E28" s="47" t="s">
        <v>63</v>
      </c>
      <c r="AD28" s="10"/>
    </row>
    <row r="29" ht="18.75" customHeight="1" spans="2:5">
      <c r="B29" s="48">
        <f>AJ24</f>
        <v>199710.75</v>
      </c>
      <c r="C29" s="48">
        <f>AG24</f>
        <v>6539.25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64</v>
      </c>
      <c r="B31" s="51" t="s">
        <v>65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66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67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68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69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70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71</v>
      </c>
    </row>
    <row r="39" spans="2:2">
      <c r="B39" s="59" t="s">
        <v>72</v>
      </c>
    </row>
    <row r="40" spans="2:2">
      <c r="B40" s="59" t="s">
        <v>73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（居民）工资表-1月</vt:lpstr>
      <vt:lpstr>（居民）工资表-2月</vt:lpstr>
      <vt:lpstr>（居民）工资表-3月</vt:lpstr>
      <vt:lpstr>（居民）工资表-4月</vt:lpstr>
      <vt:lpstr>（居民）工资表-5月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（居民）工资表-11月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2018-08-01T08:19:00Z</dcterms:created>
  <cp:lastPrinted>2019-02-02T09:30:00Z</cp:lastPrinted>
  <dcterms:modified xsi:type="dcterms:W3CDTF">2020-04-30T02:08:33Z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2052-11.1.0.9584</vt:lpwstr>
  </property>
</Properties>
</file>